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e Hogeschool 2019-2020\Blok 4\"/>
    </mc:Choice>
  </mc:AlternateContent>
  <xr:revisionPtr revIDLastSave="0" documentId="13_ncr:1_{397B3C46-3A4B-4516-9B07-650589AD047E}" xr6:coauthVersionLast="45" xr6:coauthVersionMax="45" xr10:uidLastSave="{00000000-0000-0000-0000-000000000000}"/>
  <bookViews>
    <workbookView xWindow="-110" yWindow="-110" windowWidth="19420" windowHeight="10420" activeTab="2" xr2:uid="{948CFC41-6769-41C9-B2FF-79D8076E83C7}"/>
  </bookViews>
  <sheets>
    <sheet name="Hoofdstuk 8" sheetId="3" r:id="rId1"/>
    <sheet name="Hoofdstuk 9" sheetId="4" r:id="rId2"/>
    <sheet name="Hoofdstuk 11" sheetId="5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95" i="5" l="1"/>
  <c r="D292" i="5"/>
  <c r="E289" i="5"/>
  <c r="G276" i="5"/>
  <c r="C277" i="5"/>
  <c r="C276" i="5"/>
  <c r="C275" i="5"/>
  <c r="G268" i="5"/>
  <c r="C269" i="5"/>
  <c r="C268" i="5"/>
  <c r="G264" i="5"/>
  <c r="C265" i="5"/>
  <c r="C264" i="5"/>
  <c r="H260" i="5"/>
  <c r="I261" i="5"/>
  <c r="H257" i="5"/>
  <c r="I258" i="5"/>
  <c r="I253" i="5"/>
  <c r="G277" i="5" s="1"/>
  <c r="H248" i="5"/>
  <c r="I249" i="5" s="1"/>
  <c r="G269" i="5" s="1"/>
  <c r="G270" i="5" s="1"/>
  <c r="H245" i="5"/>
  <c r="I246" i="5" s="1"/>
  <c r="I241" i="5"/>
  <c r="I240" i="5"/>
  <c r="H239" i="5"/>
  <c r="I235" i="5"/>
  <c r="G265" i="5" s="1"/>
  <c r="G266" i="5" s="1"/>
  <c r="H234" i="5"/>
  <c r="I230" i="5"/>
  <c r="D218" i="5"/>
  <c r="N213" i="5"/>
  <c r="D213" i="5"/>
  <c r="D212" i="5"/>
  <c r="D214" i="5" s="1"/>
  <c r="H208" i="5"/>
  <c r="N218" i="5" s="1"/>
  <c r="H207" i="5"/>
  <c r="D217" i="5" s="1"/>
  <c r="D219" i="5" s="1"/>
  <c r="H201" i="5"/>
  <c r="N212" i="5" s="1"/>
  <c r="N214" i="5" s="1"/>
  <c r="H202" i="5"/>
  <c r="I197" i="5"/>
  <c r="H188" i="5"/>
  <c r="I189" i="5" s="1"/>
  <c r="H185" i="5"/>
  <c r="I186" i="5" s="1"/>
  <c r="I182" i="5"/>
  <c r="H180" i="5" s="1"/>
  <c r="I176" i="5"/>
  <c r="I175" i="5"/>
  <c r="I174" i="5"/>
  <c r="H173" i="5"/>
  <c r="H168" i="5"/>
  <c r="I169" i="5" s="1"/>
  <c r="H163" i="5"/>
  <c r="I164" i="5" s="1"/>
  <c r="F154" i="5"/>
  <c r="F153" i="5"/>
  <c r="F155" i="5" s="1"/>
  <c r="H158" i="5" s="1"/>
  <c r="I159" i="5" s="1"/>
  <c r="I149" i="5"/>
  <c r="I150" i="5" s="1"/>
  <c r="I143" i="5"/>
  <c r="H137" i="5"/>
  <c r="I138" i="5" s="1"/>
  <c r="H132" i="5"/>
  <c r="I133" i="5" s="1"/>
  <c r="E126" i="5"/>
  <c r="B125" i="5"/>
  <c r="E122" i="5"/>
  <c r="H117" i="5"/>
  <c r="H116" i="5"/>
  <c r="H115" i="5"/>
  <c r="H109" i="5"/>
  <c r="B105" i="5"/>
  <c r="F96" i="5"/>
  <c r="F95" i="5"/>
  <c r="F94" i="5"/>
  <c r="G272" i="5" l="1"/>
  <c r="H213" i="5"/>
  <c r="G275" i="5"/>
  <c r="G278" i="5" s="1"/>
  <c r="I252" i="5"/>
  <c r="H251" i="5" s="1"/>
  <c r="F97" i="5"/>
  <c r="H118" i="5"/>
  <c r="N217" i="5"/>
  <c r="N219" i="5" s="1"/>
  <c r="H218" i="5" s="1"/>
  <c r="I203" i="5"/>
  <c r="I209" i="5"/>
  <c r="H101" i="5"/>
  <c r="I102" i="5"/>
  <c r="I105" i="5" s="1"/>
  <c r="G79" i="5"/>
  <c r="G75" i="5"/>
  <c r="G74" i="5"/>
  <c r="G76" i="5" s="1"/>
  <c r="H90" i="5" s="1"/>
  <c r="G70" i="5"/>
  <c r="G69" i="5"/>
  <c r="G65" i="5"/>
  <c r="G64" i="5"/>
  <c r="G66" i="5" s="1"/>
  <c r="G52" i="5"/>
  <c r="G47" i="5"/>
  <c r="I43" i="5"/>
  <c r="G53" i="5" s="1"/>
  <c r="I38" i="5"/>
  <c r="H31" i="5"/>
  <c r="I20" i="5"/>
  <c r="G48" i="5" s="1"/>
  <c r="G49" i="5" s="1"/>
  <c r="I15" i="5"/>
  <c r="G80" i="5" s="1"/>
  <c r="G81" i="5" s="1"/>
  <c r="I91" i="5" s="1"/>
  <c r="I107" i="5" s="1"/>
  <c r="I10" i="5"/>
  <c r="H285" i="5" l="1"/>
  <c r="I286" i="5"/>
  <c r="G54" i="5"/>
  <c r="G56" i="5" s="1"/>
  <c r="I108" i="5" s="1"/>
  <c r="I110" i="5" s="1"/>
  <c r="I282" i="5"/>
  <c r="H281" i="5"/>
  <c r="G71" i="5"/>
  <c r="H89" i="5" s="1"/>
  <c r="H88" i="5"/>
  <c r="F313" i="4"/>
  <c r="I191" i="4"/>
  <c r="F308" i="4"/>
  <c r="F307" i="4"/>
  <c r="F303" i="4"/>
  <c r="F288" i="4"/>
  <c r="F283" i="4"/>
  <c r="I278" i="4"/>
  <c r="I271" i="4"/>
  <c r="F302" i="4" s="1"/>
  <c r="F304" i="4" s="1"/>
  <c r="I268" i="4"/>
  <c r="F298" i="4" s="1"/>
  <c r="I265" i="4"/>
  <c r="F294" i="4" s="1"/>
  <c r="I261" i="4"/>
  <c r="F289" i="4" s="1"/>
  <c r="I258" i="4"/>
  <c r="F284" i="4" s="1"/>
  <c r="I255" i="4"/>
  <c r="I252" i="4"/>
  <c r="I243" i="4"/>
  <c r="H238" i="4"/>
  <c r="H231" i="4"/>
  <c r="F290" i="4" l="1"/>
  <c r="F285" i="4"/>
  <c r="G84" i="5"/>
  <c r="I92" i="5" s="1"/>
  <c r="H106" i="5"/>
  <c r="H110" i="5" s="1"/>
  <c r="I112" i="5" s="1"/>
  <c r="H59" i="5"/>
  <c r="I60" i="5" s="1"/>
  <c r="F309" i="4"/>
  <c r="I227" i="4"/>
  <c r="F299" i="4" s="1"/>
  <c r="F300" i="4" s="1"/>
  <c r="I222" i="4"/>
  <c r="F314" i="4" s="1"/>
  <c r="F315" i="4" s="1"/>
  <c r="I217" i="4"/>
  <c r="F295" i="4" s="1"/>
  <c r="F296" i="4" s="1"/>
  <c r="I212" i="4"/>
  <c r="I204" i="4"/>
  <c r="I196" i="4"/>
  <c r="H183" i="4"/>
  <c r="I185" i="4" s="1"/>
  <c r="H177" i="4"/>
  <c r="I179" i="4" s="1"/>
  <c r="I173" i="4"/>
  <c r="H172" i="4"/>
  <c r="J162" i="4"/>
  <c r="E162" i="4"/>
  <c r="L162" i="4" s="1"/>
  <c r="E158" i="4"/>
  <c r="L158" i="4" s="1"/>
  <c r="J158" i="4"/>
  <c r="J154" i="4"/>
  <c r="E154" i="4"/>
  <c r="L154" i="4" s="1"/>
  <c r="H138" i="4" l="1"/>
  <c r="I139" i="4" s="1"/>
  <c r="H122" i="4"/>
  <c r="B118" i="4"/>
  <c r="I134" i="4" s="1"/>
  <c r="E143" i="4" s="1"/>
  <c r="C113" i="4"/>
  <c r="J109" i="4"/>
  <c r="C114" i="4" s="1"/>
  <c r="E109" i="4"/>
  <c r="L109" i="4" s="1"/>
  <c r="H73" i="4"/>
  <c r="E93" i="4" s="1"/>
  <c r="D69" i="4"/>
  <c r="H89" i="4" s="1"/>
  <c r="E65" i="4"/>
  <c r="E59" i="4"/>
  <c r="I59" i="4" s="1"/>
  <c r="C62" i="4" s="1"/>
  <c r="I90" i="4" l="1"/>
  <c r="C115" i="4"/>
  <c r="I129" i="4" s="1"/>
  <c r="I85" i="4"/>
  <c r="E99" i="4" s="1"/>
  <c r="H84" i="4"/>
  <c r="H133" i="4"/>
  <c r="D56" i="4"/>
  <c r="H20" i="4"/>
  <c r="D40" i="4" s="1"/>
  <c r="E15" i="4"/>
  <c r="I37" i="4" s="1"/>
  <c r="G47" i="4" s="1"/>
  <c r="D8" i="4"/>
  <c r="D7" i="4"/>
  <c r="D9" i="4" s="1"/>
  <c r="E3" i="4"/>
  <c r="M3" i="4" s="1"/>
  <c r="B12" i="4" s="1"/>
  <c r="I118" i="3"/>
  <c r="N132" i="3" s="1"/>
  <c r="H117" i="3"/>
  <c r="D132" i="3"/>
  <c r="N125" i="3"/>
  <c r="D125" i="3"/>
  <c r="E106" i="3"/>
  <c r="I92" i="3"/>
  <c r="N102" i="3" s="1"/>
  <c r="H91" i="3"/>
  <c r="D83" i="3"/>
  <c r="D84" i="3" s="1"/>
  <c r="D82" i="3"/>
  <c r="E79" i="3"/>
  <c r="I58" i="3"/>
  <c r="N68" i="3" s="1"/>
  <c r="H57" i="3"/>
  <c r="E50" i="3"/>
  <c r="E49" i="3"/>
  <c r="E51" i="3" s="1"/>
  <c r="M46" i="3"/>
  <c r="J46" i="3"/>
  <c r="E46" i="3"/>
  <c r="D29" i="3"/>
  <c r="H25" i="3"/>
  <c r="H24" i="3"/>
  <c r="H23" i="3"/>
  <c r="H22" i="3"/>
  <c r="D19" i="3"/>
  <c r="N36" i="3" s="1"/>
  <c r="D12" i="3"/>
  <c r="D11" i="3"/>
  <c r="D13" i="3" s="1"/>
  <c r="J2" i="3"/>
  <c r="J5" i="3" s="1"/>
  <c r="E2" i="3"/>
  <c r="L2" i="3" s="1"/>
  <c r="I88" i="3" l="1"/>
  <c r="H87" i="3"/>
  <c r="H54" i="3"/>
  <c r="D68" i="3" s="1"/>
  <c r="H69" i="3" s="1"/>
  <c r="I75" i="3" s="1"/>
  <c r="I74" i="3" s="1"/>
  <c r="I55" i="3"/>
  <c r="N61" i="3" s="1"/>
  <c r="H62" i="3" s="1"/>
  <c r="E5" i="3"/>
  <c r="I26" i="3"/>
  <c r="H128" i="4"/>
  <c r="E142" i="4" s="1"/>
  <c r="E144" i="4" s="1"/>
  <c r="I148" i="4" s="1"/>
  <c r="I32" i="4"/>
  <c r="N47" i="4" s="1"/>
  <c r="H31" i="4"/>
  <c r="D47" i="4"/>
  <c r="I27" i="4"/>
  <c r="N40" i="4" s="1"/>
  <c r="H41" i="4" s="1"/>
  <c r="H26" i="4"/>
  <c r="H36" i="4"/>
  <c r="H79" i="4"/>
  <c r="E98" i="4" s="1"/>
  <c r="E100" i="4" s="1"/>
  <c r="H104" i="4" s="1"/>
  <c r="I80" i="4"/>
  <c r="E94" i="4" s="1"/>
  <c r="E95" i="4" s="1"/>
  <c r="H103" i="4" s="1"/>
  <c r="H133" i="3"/>
  <c r="H126" i="3"/>
  <c r="H16" i="3"/>
  <c r="D36" i="3" s="1"/>
  <c r="H37" i="3" s="1"/>
  <c r="I17" i="3"/>
  <c r="N29" i="3" s="1"/>
  <c r="H30" i="3" s="1"/>
  <c r="L5" i="3" l="1"/>
  <c r="E42" i="3"/>
  <c r="N95" i="3"/>
  <c r="H96" i="3" s="1"/>
  <c r="D102" i="3"/>
  <c r="H103" i="3" s="1"/>
  <c r="H48" i="4"/>
  <c r="H147" i="4"/>
  <c r="I105" i="4"/>
</calcChain>
</file>

<file path=xl/sharedStrings.xml><?xml version="1.0" encoding="utf-8"?>
<sst xmlns="http://schemas.openxmlformats.org/spreadsheetml/2006/main" count="1152" uniqueCount="428">
  <si>
    <t>Budgetten</t>
  </si>
  <si>
    <t>Debiteuren</t>
  </si>
  <si>
    <t>Te betalen OB</t>
  </si>
  <si>
    <t>Overboekingsrekening</t>
  </si>
  <si>
    <t>Kosten afdeling Huisvesting</t>
  </si>
  <si>
    <t>Budget afdeling Huisvesting</t>
  </si>
  <si>
    <t>Te dekken budget afdeling Huisvesting</t>
  </si>
  <si>
    <t>Dekking afdeling Huisvesting</t>
  </si>
  <si>
    <t>Kosten afdeling Inkoop</t>
  </si>
  <si>
    <t>Kosten afdeling Magazijn</t>
  </si>
  <si>
    <t xml:space="preserve">Kosten afdeling Fabricage </t>
  </si>
  <si>
    <t xml:space="preserve">Budget afdeling Fabricage </t>
  </si>
  <si>
    <t xml:space="preserve">Te dekken budget afdeling Fabricage </t>
  </si>
  <si>
    <t xml:space="preserve">Dekking afdeling Fabricage </t>
  </si>
  <si>
    <t>Kosten afdeling Verkoop</t>
  </si>
  <si>
    <t>Directe grondstofkosten</t>
  </si>
  <si>
    <t>Directe loonkosten</t>
  </si>
  <si>
    <t>Toeslag indirecte fabricagekosten</t>
  </si>
  <si>
    <t>Standaard directe grondstofkosten</t>
  </si>
  <si>
    <t>Standaard directe loonkosten</t>
  </si>
  <si>
    <t>Betaalde directe lonen</t>
  </si>
  <si>
    <t>Verrekende directe lonen</t>
  </si>
  <si>
    <t>Voorraad gereed product</t>
  </si>
  <si>
    <t>Voorraad goederen in bewerking</t>
  </si>
  <si>
    <t>Kostprijs verkopen</t>
  </si>
  <si>
    <t>Bezettingsresultaat</t>
  </si>
  <si>
    <t>Prijsverschil directe lonen</t>
  </si>
  <si>
    <t>Bezettingsresultaten</t>
  </si>
  <si>
    <t>Opgave: 1</t>
  </si>
  <si>
    <t>=</t>
  </si>
  <si>
    <t>C</t>
  </si>
  <si>
    <t>N</t>
  </si>
  <si>
    <t>Maandelijks</t>
  </si>
  <si>
    <t>+</t>
  </si>
  <si>
    <t>V</t>
  </si>
  <si>
    <t>W</t>
  </si>
  <si>
    <t>a/ 499</t>
  </si>
  <si>
    <t>Debet</t>
  </si>
  <si>
    <t>Credit</t>
  </si>
  <si>
    <t>Grootboekrekening</t>
  </si>
  <si>
    <t>(€300.000/12)</t>
  </si>
  <si>
    <t>(100+400+3250+500=4.250)</t>
  </si>
  <si>
    <t>Gemengd budget</t>
  </si>
  <si>
    <t>a/501</t>
  </si>
  <si>
    <t xml:space="preserve">Dekking Huisvesting= </t>
  </si>
  <si>
    <t>a/503</t>
  </si>
  <si>
    <t xml:space="preserve">Dekking afdeling Huisvesting </t>
  </si>
  <si>
    <t>(100*12)</t>
  </si>
  <si>
    <t>(400*12)</t>
  </si>
  <si>
    <t>(3250*12)</t>
  </si>
  <si>
    <t>(500*12)</t>
  </si>
  <si>
    <t>500 Kosten afdeling Huisvesting</t>
  </si>
  <si>
    <t>D</t>
  </si>
  <si>
    <t>503 Dekking afdeling Huisvesting</t>
  </si>
  <si>
    <t>501 Budget afdeling Huisvesting</t>
  </si>
  <si>
    <t>502 Te dekken budget afdeling Huisvesting</t>
  </si>
  <si>
    <t xml:space="preserve">Budgetresultaat </t>
  </si>
  <si>
    <t>Verlies</t>
  </si>
  <si>
    <t>Normaal</t>
  </si>
  <si>
    <t>Werkelijk</t>
  </si>
  <si>
    <t>Bezettingsresultaat= (W-N)x C/N</t>
  </si>
  <si>
    <t>verlies</t>
  </si>
  <si>
    <t>Opgave: 2</t>
  </si>
  <si>
    <t>25+20=</t>
  </si>
  <si>
    <t>(4.000*25)</t>
  </si>
  <si>
    <t>(4.200*20)</t>
  </si>
  <si>
    <t>Vast budget</t>
  </si>
  <si>
    <t>Variabel  budget</t>
  </si>
  <si>
    <t xml:space="preserve">Vast budget </t>
  </si>
  <si>
    <t xml:space="preserve">Variabel  budget </t>
  </si>
  <si>
    <t>a/551</t>
  </si>
  <si>
    <t>Te dekken budget afdeling Fabricage</t>
  </si>
  <si>
    <t>a/553</t>
  </si>
  <si>
    <t>Toeslag indirecte Fabricagekosten</t>
  </si>
  <si>
    <t>(4.200*45)</t>
  </si>
  <si>
    <t>550 Kosten afdeling Fabricage</t>
  </si>
  <si>
    <t>552 Te dekken budget afdeling Fabricage</t>
  </si>
  <si>
    <t>551 Budget afdeling Fabricage</t>
  </si>
  <si>
    <t>553 Dekking afdeling Fabricage</t>
  </si>
  <si>
    <t>(Debetsaldo)</t>
  </si>
  <si>
    <t>a/599</t>
  </si>
  <si>
    <t>a/935</t>
  </si>
  <si>
    <t xml:space="preserve">Budgetresultaten </t>
  </si>
  <si>
    <t>Winst</t>
  </si>
  <si>
    <t>Opgave: 3</t>
  </si>
  <si>
    <t>Vast Budget</t>
  </si>
  <si>
    <t>Variabel Budget</t>
  </si>
  <si>
    <t>Gemengd Budget</t>
  </si>
  <si>
    <t>(2.000*20)</t>
  </si>
  <si>
    <t>(2.100*30)</t>
  </si>
  <si>
    <t>a/521</t>
  </si>
  <si>
    <t>Budget afdeling inkoop</t>
  </si>
  <si>
    <t>a/533</t>
  </si>
  <si>
    <t>Dekking afdeling Fabricage</t>
  </si>
  <si>
    <t>530 Kosten afdeling Fabricage</t>
  </si>
  <si>
    <t>531 Budget afdeling Fabricage</t>
  </si>
  <si>
    <t>532 Te dekken budget afdeling Fabricage</t>
  </si>
  <si>
    <t>533 Dekking afdeling Fabricage</t>
  </si>
  <si>
    <t>Opgave: 5</t>
  </si>
  <si>
    <t>a/513</t>
  </si>
  <si>
    <t>a/499</t>
  </si>
  <si>
    <t>Kosten afdeling Administratie</t>
  </si>
  <si>
    <t>Dekking afdeling Secretariaat</t>
  </si>
  <si>
    <t>(Werkelijke constante kosten)</t>
  </si>
  <si>
    <t>(Doorbelasting Huisvesting)</t>
  </si>
  <si>
    <t>(Doorbelasting Secretariaat)</t>
  </si>
  <si>
    <t>(Eersteverdeelde kosten)</t>
  </si>
  <si>
    <t>a/543</t>
  </si>
  <si>
    <t xml:space="preserve">Dekking afdeling Administratie </t>
  </si>
  <si>
    <t>(4% van €780.000)</t>
  </si>
  <si>
    <t>a/541</t>
  </si>
  <si>
    <t xml:space="preserve">Te dekken budget afdeling Administratie </t>
  </si>
  <si>
    <t xml:space="preserve">Budget afdeling Administratie </t>
  </si>
  <si>
    <t>((4% van €9.000.000) /12)</t>
  </si>
  <si>
    <t>540 Kosten afdeling Administratie</t>
  </si>
  <si>
    <t>541 Budget afdeling Administratie</t>
  </si>
  <si>
    <t>542 Te dekken budget afdeling Administratie</t>
  </si>
  <si>
    <t>543 Dekking afdeling Administratie</t>
  </si>
  <si>
    <t>1,3,4</t>
  </si>
  <si>
    <t>Het budget</t>
  </si>
  <si>
    <t>De dekking</t>
  </si>
  <si>
    <t>Variabel budget</t>
  </si>
  <si>
    <t xml:space="preserve">Gemengd budget </t>
  </si>
  <si>
    <t>(300*€110)</t>
  </si>
  <si>
    <t>(450*€95)</t>
  </si>
  <si>
    <t>(300*€15)</t>
  </si>
  <si>
    <t>De seizoencorrectie</t>
  </si>
  <si>
    <t>a/523</t>
  </si>
  <si>
    <t>Dekking hulpkostenplaatsen</t>
  </si>
  <si>
    <t>De werkelijke kosten</t>
  </si>
  <si>
    <t xml:space="preserve">Het budget </t>
  </si>
  <si>
    <t>a/552</t>
  </si>
  <si>
    <t>Seiziencorrecties</t>
  </si>
  <si>
    <t>551 Budget afdeling  Fabricage</t>
  </si>
  <si>
    <t>552 Te dekken budget afdeling  Fabricage</t>
  </si>
  <si>
    <t>553 Dekking afdeling  Fabricage</t>
  </si>
  <si>
    <t>(€312.000/4)</t>
  </si>
  <si>
    <t>(6.750*€8)</t>
  </si>
  <si>
    <t>Tarief</t>
  </si>
  <si>
    <t>Dekking</t>
  </si>
  <si>
    <t>(6.750*21)</t>
  </si>
  <si>
    <t>Gemiddelde machine uur</t>
  </si>
  <si>
    <t>(24.000/4)</t>
  </si>
  <si>
    <t xml:space="preserve">Seizoencorrectie </t>
  </si>
  <si>
    <t>dekking</t>
  </si>
  <si>
    <t>(1,25*6000)</t>
  </si>
  <si>
    <t>(6000*13)</t>
  </si>
  <si>
    <t>De kosten</t>
  </si>
  <si>
    <t>Dekkinghulpkostenplaats</t>
  </si>
  <si>
    <t>Seizoencorrecties</t>
  </si>
  <si>
    <t>a/175</t>
  </si>
  <si>
    <t>Budgetresultaat</t>
  </si>
  <si>
    <t>-</t>
  </si>
  <si>
    <t xml:space="preserve">Bezettingsresultaat </t>
  </si>
  <si>
    <t>Constant</t>
  </si>
  <si>
    <t>Variabel</t>
  </si>
  <si>
    <t>Budget</t>
  </si>
  <si>
    <t>(€396.000/12)</t>
  </si>
  <si>
    <t>(1.000*€13)</t>
  </si>
  <si>
    <t>(1.000*€35)</t>
  </si>
  <si>
    <t>((18.000/12-1.200)*22)</t>
  </si>
  <si>
    <t>Opgave: 4</t>
  </si>
  <si>
    <t>Tarief:</t>
  </si>
  <si>
    <t xml:space="preserve">Huisvesting </t>
  </si>
  <si>
    <t>Magazijn</t>
  </si>
  <si>
    <t>Fabricage</t>
  </si>
  <si>
    <t>Verkoop</t>
  </si>
  <si>
    <t>Crediteuren</t>
  </si>
  <si>
    <t>Te vorderen OB</t>
  </si>
  <si>
    <t>Nog te ontvangen grondstoffen</t>
  </si>
  <si>
    <t>Inkoopboek</t>
  </si>
  <si>
    <t xml:space="preserve">Magazijnontvangenregister </t>
  </si>
  <si>
    <t>a/140</t>
  </si>
  <si>
    <t>a/310</t>
  </si>
  <si>
    <t>a/320</t>
  </si>
  <si>
    <t>Prijsverschillen bij inkoop</t>
  </si>
  <si>
    <t>Voorraad grondstoffen</t>
  </si>
  <si>
    <t>Loonbetaalstaat</t>
  </si>
  <si>
    <t>a/280</t>
  </si>
  <si>
    <t>Indirecte lonen</t>
  </si>
  <si>
    <t>Tussenrekeninglonen</t>
  </si>
  <si>
    <t>(6.800*11)</t>
  </si>
  <si>
    <t>(110% van €620.000)</t>
  </si>
  <si>
    <t xml:space="preserve"> </t>
  </si>
  <si>
    <t>(0,1*€620.000+€246300)</t>
  </si>
  <si>
    <t>Magazijnafgifteregister</t>
  </si>
  <si>
    <t>a/300</t>
  </si>
  <si>
    <t>(7.600*11)</t>
  </si>
  <si>
    <t>Kostenverdeelstaat</t>
  </si>
  <si>
    <t>Kosten afdeling magazijn</t>
  </si>
  <si>
    <t xml:space="preserve">Kosten afdeling huisvesting </t>
  </si>
  <si>
    <t>Kosten afdeling fabricage</t>
  </si>
  <si>
    <t>Kosten afdeling verkoop</t>
  </si>
  <si>
    <t>Dekkingstaat</t>
  </si>
  <si>
    <t>Doorbelasting Huisvesting</t>
  </si>
  <si>
    <t>Dekking afdeling huisvesting</t>
  </si>
  <si>
    <t>(450*€75)</t>
  </si>
  <si>
    <t>(1.250*€75)</t>
  </si>
  <si>
    <t>(300*€75)</t>
  </si>
  <si>
    <t>Doorbelasting Magazijn</t>
  </si>
  <si>
    <t>Dekking afdeling magazijn</t>
  </si>
  <si>
    <t>(0,9*6.800*€7)</t>
  </si>
  <si>
    <t>(0,1*6.800*€7)</t>
  </si>
  <si>
    <t>Arbeidsurenregister</t>
  </si>
  <si>
    <t>a/ 631</t>
  </si>
  <si>
    <t xml:space="preserve">Verrekende directe lonen </t>
  </si>
  <si>
    <t>(30.300*€21)</t>
  </si>
  <si>
    <t>Machine urenregister</t>
  </si>
  <si>
    <t xml:space="preserve">Dekking afdeling fabricage </t>
  </si>
  <si>
    <t>(7.840*€23)</t>
  </si>
  <si>
    <t>Productieregister</t>
  </si>
  <si>
    <t>a/610</t>
  </si>
  <si>
    <t>a/612</t>
  </si>
  <si>
    <t>a/611</t>
  </si>
  <si>
    <t xml:space="preserve">Voorraad gereed product </t>
  </si>
  <si>
    <t>Standaard toeslag indirecte fabricagekosten</t>
  </si>
  <si>
    <t>Verkoopboek</t>
  </si>
  <si>
    <t>a/181</t>
  </si>
  <si>
    <t>1/840</t>
  </si>
  <si>
    <t>a/700</t>
  </si>
  <si>
    <t>a/563</t>
  </si>
  <si>
    <t>Opbrengtsen verkopen</t>
  </si>
  <si>
    <t>Toelsag indirecte verkoopkosten</t>
  </si>
  <si>
    <t>Dekking afdeling verkoop</t>
  </si>
  <si>
    <t>(3.820*€22)</t>
  </si>
  <si>
    <t>(3.820*€168)</t>
  </si>
  <si>
    <t>(3.820*€46)</t>
  </si>
  <si>
    <t>(21/100*€1.200.000)</t>
  </si>
  <si>
    <t>(4.000*€300)</t>
  </si>
  <si>
    <t>(4.000*€236)</t>
  </si>
  <si>
    <t>(4/100*€1.200.000)</t>
  </si>
  <si>
    <t>Memoriaal</t>
  </si>
  <si>
    <t>a/561</t>
  </si>
  <si>
    <t>Te dekken budget afdeling huisvesting</t>
  </si>
  <si>
    <t>Budget afdeling huisvesting</t>
  </si>
  <si>
    <t>Te dekken budget afdeling magazijn</t>
  </si>
  <si>
    <t>Budget afdeling magazijn</t>
  </si>
  <si>
    <t>Te dekken budget afdeling fabricage</t>
  </si>
  <si>
    <t>Budget afdeling fabricage</t>
  </si>
  <si>
    <t>Te dekken budget afdeling verkoop</t>
  </si>
  <si>
    <t>Budget afdeling verkoop</t>
  </si>
  <si>
    <t>(€400.000/4+2.000*€25)</t>
  </si>
  <si>
    <t>(€180.000/4+6.800*€2,5)</t>
  </si>
  <si>
    <t>(€620.000/4+7.840*€7,5)</t>
  </si>
  <si>
    <t>(€210.000/4+0,01*€1.200.000)</t>
  </si>
  <si>
    <t>a/522</t>
  </si>
  <si>
    <t>a/562</t>
  </si>
  <si>
    <t>Te dekken budget magazijn</t>
  </si>
  <si>
    <t xml:space="preserve">Te dekken budget fabricage </t>
  </si>
  <si>
    <t>Te dekken budget verkoop</t>
  </si>
  <si>
    <t>(0,25*€180.000/4)</t>
  </si>
  <si>
    <t>(0,25*€620.000/4)</t>
  </si>
  <si>
    <t>(0,25*€210.000/4)</t>
  </si>
  <si>
    <t>Register goederen in bewerking</t>
  </si>
  <si>
    <t>a/710</t>
  </si>
  <si>
    <t>(€2.200-€1.650)</t>
  </si>
  <si>
    <t>(€1.680-€1.260)</t>
  </si>
  <si>
    <t>(€5.500-€4.400)</t>
  </si>
  <si>
    <t xml:space="preserve">Fabricage </t>
  </si>
  <si>
    <t>Efficiencyverschil</t>
  </si>
  <si>
    <t>Directe lonen</t>
  </si>
  <si>
    <t>Prijsverschil</t>
  </si>
  <si>
    <t>(€62.000-€11.250)</t>
  </si>
  <si>
    <t>(€213.000-€38.750)</t>
  </si>
  <si>
    <t>(€64.500-€13.125)</t>
  </si>
  <si>
    <t>(€641.760-€420)</t>
  </si>
  <si>
    <t>Loonverdeelstaat</t>
  </si>
  <si>
    <t>a/151</t>
  </si>
  <si>
    <t>a/155</t>
  </si>
  <si>
    <t>Huisvesting</t>
  </si>
  <si>
    <t>Formule: (W-N)*C/N</t>
  </si>
  <si>
    <t>(6.800-7.500)*€4,50=€3.150</t>
  </si>
  <si>
    <t>Nadelig</t>
  </si>
  <si>
    <t>(7.840-7.500)*€15,50= €5.270</t>
  </si>
  <si>
    <t>Voordelig</t>
  </si>
  <si>
    <t>(75/100*(€7.000.000/4)=€1.312.500=3/100*(€1.200.000-€1.312.500)</t>
  </si>
  <si>
    <t>De overboeking van rubriek 4</t>
  </si>
  <si>
    <t>Variabele kosten afdeling fabricage</t>
  </si>
  <si>
    <t>Variabele kosten afdeling verkoop</t>
  </si>
  <si>
    <t>Constante kosten</t>
  </si>
  <si>
    <t>(€279.000+€59.520)</t>
  </si>
  <si>
    <t>Machine uren</t>
  </si>
  <si>
    <t>a/631</t>
  </si>
  <si>
    <t>Toeslag variabele fabricagekosten</t>
  </si>
  <si>
    <t>Dekking variabele kosten afdeling fabricage</t>
  </si>
  <si>
    <t>Arbeidsuren</t>
  </si>
  <si>
    <t>(12.170*€25)</t>
  </si>
  <si>
    <t>(9.450*€10)</t>
  </si>
  <si>
    <t>Productie Gallix</t>
  </si>
  <si>
    <t>Standaard directe lonen</t>
  </si>
  <si>
    <t>Standaard toeslag variabele fabricagekosten</t>
  </si>
  <si>
    <t>(3.000*€190)</t>
  </si>
  <si>
    <t>(3.000*€60)</t>
  </si>
  <si>
    <t>(3.000*€100)</t>
  </si>
  <si>
    <t>(3.000*€30)</t>
  </si>
  <si>
    <t>Verkocht op rekening 3.200 eenheden</t>
  </si>
  <si>
    <t>a/840</t>
  </si>
  <si>
    <t>Afgeleverd 3.200 eenheden</t>
  </si>
  <si>
    <t xml:space="preserve">Voorraad gereed producten </t>
  </si>
  <si>
    <t>Toeslag variabele verkoopkosten</t>
  </si>
  <si>
    <t>Dekking variabele kosten afdeling verkoop</t>
  </si>
  <si>
    <t>Opbrengst verkopen</t>
  </si>
  <si>
    <t>(21/100*€1.024.000)</t>
  </si>
  <si>
    <t>(3.200*€320)</t>
  </si>
  <si>
    <t>(3.200*€190)</t>
  </si>
  <si>
    <t>(3/100*€1.024.000)</t>
  </si>
  <si>
    <t>Afdelingresultaten:</t>
  </si>
  <si>
    <t>Overboeking</t>
  </si>
  <si>
    <t>a/930</t>
  </si>
  <si>
    <t>Afdelingsresultaten</t>
  </si>
  <si>
    <t>Efficiencyresultaten</t>
  </si>
  <si>
    <t>Grondstoffen</t>
  </si>
  <si>
    <t>Variabele fabricagekosten</t>
  </si>
  <si>
    <t>Resultaat rubriek 6</t>
  </si>
  <si>
    <t>Journaalpost resultaat rubriek 6</t>
  </si>
  <si>
    <t>a/921</t>
  </si>
  <si>
    <t>a699</t>
  </si>
  <si>
    <t>Efficiencyresultaat op grondstoffen</t>
  </si>
  <si>
    <t>Efficiencyresultaat op directe lonen</t>
  </si>
  <si>
    <t>Efficiencyresultaat op variabele</t>
  </si>
  <si>
    <t>Prijsverschil op directe lonen</t>
  </si>
  <si>
    <t>A</t>
  </si>
  <si>
    <t>Uitwerking</t>
  </si>
  <si>
    <t>B</t>
  </si>
  <si>
    <t>E</t>
  </si>
  <si>
    <t>F</t>
  </si>
  <si>
    <t>Toelichting</t>
  </si>
  <si>
    <t>G</t>
  </si>
  <si>
    <t>H</t>
  </si>
  <si>
    <t>voorraad gereed product</t>
  </si>
  <si>
    <t xml:space="preserve">Opbrengst verkopen </t>
  </si>
  <si>
    <t xml:space="preserve">Kostprijs verkopen </t>
  </si>
  <si>
    <t xml:space="preserve">Dekkingsbijdrage </t>
  </si>
  <si>
    <t>a/945</t>
  </si>
  <si>
    <t xml:space="preserve">Overboekingsrekening </t>
  </si>
  <si>
    <t>Dekkingsbijdrage</t>
  </si>
  <si>
    <t xml:space="preserve">Winst- en verliesrekening </t>
  </si>
  <si>
    <t>Prijsverschillen</t>
  </si>
  <si>
    <t>Bedrijfsresultaat</t>
  </si>
  <si>
    <t>Opgave 3</t>
  </si>
  <si>
    <t>Grondstoffen: 10 kg voor €5</t>
  </si>
  <si>
    <t>Loonkosten: 2 arbeidsuren voor €25</t>
  </si>
  <si>
    <t>Indirecte variabele fabricagekosten 0,5 machine-uur voor €10</t>
  </si>
  <si>
    <t xml:space="preserve">Variabele fabricagekosten Costa </t>
  </si>
  <si>
    <t>500 eenheden Costa</t>
  </si>
  <si>
    <t>Waarde =</t>
  </si>
  <si>
    <t>Voorraad tegen integrale fabricagekostprijs 1-1-2015</t>
  </si>
  <si>
    <t>Waarde voorraad (Direct costing) 1-1-2015</t>
  </si>
  <si>
    <t>Voorraad=</t>
  </si>
  <si>
    <t>Het verschil van €5.000 komt door de methode van Absortion costing. In de voorraad is de constante kosten inbegrepen van 500 eenheden, 500 x 0,5 x €20= €5.000</t>
  </si>
  <si>
    <t>De correctie</t>
  </si>
  <si>
    <t>Vorraad gereed product</t>
  </si>
  <si>
    <t>500x0,5x€20</t>
  </si>
  <si>
    <t>Grondstoffenverbruik</t>
  </si>
  <si>
    <t>98.900x€5</t>
  </si>
  <si>
    <t>Tussenrekening lonen</t>
  </si>
  <si>
    <t>€207.000+€18.400</t>
  </si>
  <si>
    <t>a/515</t>
  </si>
  <si>
    <t>Voorgecalculeerde constante fabricagekosten</t>
  </si>
  <si>
    <t>Machine</t>
  </si>
  <si>
    <t xml:space="preserve">Constante verkoopkosten </t>
  </si>
  <si>
    <t>5.000x€20</t>
  </si>
  <si>
    <t>10.000x€6</t>
  </si>
  <si>
    <t>Totaal</t>
  </si>
  <si>
    <t>a/555</t>
  </si>
  <si>
    <t>a/565</t>
  </si>
  <si>
    <t>Toeslag variable fabricagekosten</t>
  </si>
  <si>
    <t>Standaard grondstoffenverbruik</t>
  </si>
  <si>
    <t>Standaard toeslag fabricagekosten</t>
  </si>
  <si>
    <t>Rabatten en korttingen</t>
  </si>
  <si>
    <t>Kostprijs verkoop</t>
  </si>
  <si>
    <t>19.975x€25</t>
  </si>
  <si>
    <t>4.980x€10</t>
  </si>
  <si>
    <t>9.850x€105</t>
  </si>
  <si>
    <t>9.850x€50</t>
  </si>
  <si>
    <t>9.850x€5</t>
  </si>
  <si>
    <t>10.000*105</t>
  </si>
  <si>
    <t>10.000*4</t>
  </si>
  <si>
    <t>Opgave 4</t>
  </si>
  <si>
    <t>Eersteverdeelde kosten</t>
  </si>
  <si>
    <t>Kosten afdeling fabricage (variabel)</t>
  </si>
  <si>
    <t>Kosten afdeling fabricage (vast)</t>
  </si>
  <si>
    <t>Kosten afdeling verkoop (variabel)</t>
  </si>
  <si>
    <t>Kosten afdeling verkoop (vast)</t>
  </si>
  <si>
    <t>Te dekken contante kosten</t>
  </si>
  <si>
    <t>600.000/12</t>
  </si>
  <si>
    <t>2.120*€12</t>
  </si>
  <si>
    <t>0,04*214.000</t>
  </si>
  <si>
    <t>192.000/12</t>
  </si>
  <si>
    <t>550 Kosten afdeling fabricage</t>
  </si>
  <si>
    <t>553 Budget afdeling fabricage</t>
  </si>
  <si>
    <t>560 Kosten afdeling verkoop</t>
  </si>
  <si>
    <t>563 Budget afdeling verkoop</t>
  </si>
  <si>
    <t>Opgave 5</t>
  </si>
  <si>
    <t>a/545</t>
  </si>
  <si>
    <t>a/605</t>
  </si>
  <si>
    <t>a/615</t>
  </si>
  <si>
    <t>a/850</t>
  </si>
  <si>
    <t xml:space="preserve">Direct grondstoffenverbruik </t>
  </si>
  <si>
    <t>Kosten fabricageafdeling</t>
  </si>
  <si>
    <t>Kosten verkoopafdeling</t>
  </si>
  <si>
    <t>Toeslag indirecte variabele fabricagekosten</t>
  </si>
  <si>
    <t>Gebudgetteerde kosten</t>
  </si>
  <si>
    <t>Standaardtoeslag indirecte variabele fabricagekosten</t>
  </si>
  <si>
    <t>Voorraad gereed prodcut</t>
  </si>
  <si>
    <t>Gebudgetteerde kosten verkoopafdeling</t>
  </si>
  <si>
    <t>Gebudgetteerde vaste kosten</t>
  </si>
  <si>
    <t xml:space="preserve">Gebudgetteerde kosten fabricageafdeling </t>
  </si>
  <si>
    <t>Gebudgetteerde kosten verkoop afdeling</t>
  </si>
  <si>
    <t>€59.000+€100.000</t>
  </si>
  <si>
    <t>€20.000+€42.000</t>
  </si>
  <si>
    <t>1.900*€70</t>
  </si>
  <si>
    <t>4.020*€15</t>
  </si>
  <si>
    <t>1.950*€70</t>
  </si>
  <si>
    <t>1.950*€40</t>
  </si>
  <si>
    <t>1.950*€30</t>
  </si>
  <si>
    <t>1.900*€10</t>
  </si>
  <si>
    <t>1.900*€200</t>
  </si>
  <si>
    <t>0,21*€380.000</t>
  </si>
  <si>
    <t>€1.200.000/12</t>
  </si>
  <si>
    <t>€480.000/12</t>
  </si>
  <si>
    <t>Rubriek 8</t>
  </si>
  <si>
    <t>Rubriek 5</t>
  </si>
  <si>
    <t>a/940</t>
  </si>
  <si>
    <t>Fabricageafdeling</t>
  </si>
  <si>
    <t>(4.020-4.000)x€25 =</t>
  </si>
  <si>
    <t>Verkoopafdeling</t>
  </si>
  <si>
    <t>(€380.000-€400.000)*0,10=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</si>
</sst>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€&quot;\ #,##0;[Red]&quot;€&quot;\ \-#,##0"/>
    <numFmt numFmtId="44" formatCode="_ &quot;€&quot;\ * #,##0.00_ ;_ &quot;€&quot;\ * \-#,##0.00_ ;_ &quot;€&quot;\ * &quot;-&quot;??_ ;_ @_ "/>
    <numFmt numFmtId="43" formatCode="_ * #,##0.00_ ;_ * \-#,##0.00_ ;_ * &quot;-&quot;??_ ;_ @_ "/>
    <numFmt numFmtId="164" formatCode="_ &quot;€&quot;\ * #,##0_ ;_ &quot;€&quot;\ * \-#,##0_ ;_ &quot;€&quot;\ * &quot;-&quot;??_ ;_ @_ "/>
    <numFmt numFmtId="165" formatCode="_ [$€-413]\ * #,##0_ ;_ [$€-413]\ * \-#,##0_ ;_ [$€-413]\ * &quot;-&quot;??_ ;_ @_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 val="singleAccounting"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/>
      </patternFill>
    </fill>
    <fill>
      <patternFill patternType="solid">
        <fgColor theme="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59999389629810485"/>
        <bgColor indexed="65"/>
      </patternFill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double">
        <color rgb="FF3F3F3F"/>
      </left>
      <right/>
      <top style="double">
        <color rgb="FF3F3F3F"/>
      </top>
      <bottom style="double">
        <color rgb="FF3F3F3F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/>
      <diagonal/>
    </border>
  </borders>
  <cellStyleXfs count="8">
    <xf numFmtId="0" fontId="0" fillId="0" borderId="0"/>
    <xf numFmtId="44" fontId="1" fillId="0" borderId="0" applyFont="0" applyFill="0" applyBorder="0" applyAlignment="0" applyProtection="0"/>
    <xf numFmtId="0" fontId="4" fillId="2" borderId="0" applyNumberFormat="0" applyBorder="0" applyAlignment="0" applyProtection="0"/>
    <xf numFmtId="9" fontId="1" fillId="0" borderId="0" applyFont="0" applyFill="0" applyBorder="0" applyAlignment="0" applyProtection="0"/>
    <xf numFmtId="0" fontId="4" fillId="3" borderId="0" applyNumberFormat="0" applyBorder="0" applyAlignment="0" applyProtection="0"/>
    <xf numFmtId="0" fontId="1" fillId="4" borderId="0" applyNumberFormat="0" applyBorder="0" applyAlignment="0" applyProtection="0"/>
    <xf numFmtId="43" fontId="1" fillId="0" borderId="0" applyFont="0" applyFill="0" applyBorder="0" applyAlignment="0" applyProtection="0"/>
    <xf numFmtId="0" fontId="1" fillId="5" borderId="0" applyNumberFormat="0" applyBorder="0" applyAlignment="0" applyProtection="0"/>
  </cellStyleXfs>
  <cellXfs count="174">
    <xf numFmtId="0" fontId="0" fillId="0" borderId="0" xfId="0"/>
    <xf numFmtId="0" fontId="3" fillId="0" borderId="0" xfId="0" applyFont="1"/>
    <xf numFmtId="3" fontId="0" fillId="0" borderId="0" xfId="0" applyNumberFormat="1"/>
    <xf numFmtId="0" fontId="0" fillId="0" borderId="0" xfId="0" applyAlignment="1">
      <alignment horizontal="center" vertic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164" fontId="0" fillId="0" borderId="0" xfId="1" applyNumberFormat="1" applyFont="1"/>
    <xf numFmtId="0" fontId="0" fillId="0" borderId="0" xfId="0" applyAlignment="1">
      <alignment horizontal="left"/>
    </xf>
    <xf numFmtId="164" fontId="0" fillId="0" borderId="1" xfId="0" applyNumberFormat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44" fontId="0" fillId="0" borderId="2" xfId="0" applyNumberFormat="1" applyBorder="1"/>
    <xf numFmtId="164" fontId="0" fillId="0" borderId="2" xfId="0" applyNumberFormat="1" applyBorder="1"/>
    <xf numFmtId="0" fontId="4" fillId="2" borderId="0" xfId="2"/>
    <xf numFmtId="164" fontId="0" fillId="0" borderId="1" xfId="1" applyNumberFormat="1" applyFont="1" applyBorder="1"/>
    <xf numFmtId="0" fontId="0" fillId="0" borderId="0" xfId="3" applyNumberFormat="1" applyFont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164" fontId="0" fillId="0" borderId="1" xfId="0" applyNumberFormat="1" applyFont="1" applyBorder="1"/>
    <xf numFmtId="0" fontId="0" fillId="0" borderId="1" xfId="0" applyBorder="1"/>
    <xf numFmtId="0" fontId="4" fillId="3" borderId="0" xfId="4"/>
    <xf numFmtId="0" fontId="2" fillId="3" borderId="0" xfId="4" applyFont="1"/>
    <xf numFmtId="0" fontId="1" fillId="4" borderId="0" xfId="5"/>
    <xf numFmtId="0" fontId="3" fillId="4" borderId="0" xfId="5" applyFont="1"/>
    <xf numFmtId="0" fontId="2" fillId="3" borderId="0" xfId="4" applyFont="1" applyAlignment="1">
      <alignment horizontal="center"/>
    </xf>
    <xf numFmtId="0" fontId="3" fillId="4" borderId="6" xfId="5" applyFont="1" applyBorder="1"/>
    <xf numFmtId="0" fontId="3" fillId="4" borderId="4" xfId="5" applyFont="1" applyBorder="1"/>
    <xf numFmtId="0" fontId="0" fillId="0" borderId="7" xfId="0" applyBorder="1" applyAlignment="1">
      <alignment horizontal="left" vertical="top"/>
    </xf>
    <xf numFmtId="164" fontId="0" fillId="0" borderId="0" xfId="1" applyNumberFormat="1" applyFont="1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3" fillId="4" borderId="10" xfId="5" applyFont="1" applyBorder="1"/>
    <xf numFmtId="0" fontId="3" fillId="4" borderId="12" xfId="5" applyFont="1" applyBorder="1"/>
    <xf numFmtId="0" fontId="3" fillId="4" borderId="2" xfId="5" applyFont="1" applyBorder="1"/>
    <xf numFmtId="0" fontId="0" fillId="0" borderId="7" xfId="0" applyBorder="1" applyAlignment="1">
      <alignment horizontal="left"/>
    </xf>
    <xf numFmtId="0" fontId="1" fillId="4" borderId="12" xfId="5" applyBorder="1"/>
    <xf numFmtId="0" fontId="1" fillId="4" borderId="4" xfId="5" applyBorder="1"/>
    <xf numFmtId="0" fontId="1" fillId="4" borderId="2" xfId="5" applyBorder="1"/>
    <xf numFmtId="164" fontId="0" fillId="0" borderId="0" xfId="0" applyNumberFormat="1" applyBorder="1"/>
    <xf numFmtId="0" fontId="3" fillId="4" borderId="5" xfId="5" applyFont="1" applyBorder="1"/>
    <xf numFmtId="0" fontId="3" fillId="0" borderId="7" xfId="0" applyFont="1" applyBorder="1"/>
    <xf numFmtId="164" fontId="3" fillId="0" borderId="1" xfId="0" applyNumberFormat="1" applyFont="1" applyBorder="1"/>
    <xf numFmtId="0" fontId="3" fillId="4" borderId="7" xfId="5" applyFont="1" applyBorder="1"/>
    <xf numFmtId="0" fontId="3" fillId="4" borderId="0" xfId="5" applyFont="1" applyBorder="1"/>
    <xf numFmtId="0" fontId="3" fillId="0" borderId="8" xfId="0" applyFont="1" applyBorder="1"/>
    <xf numFmtId="0" fontId="3" fillId="0" borderId="9" xfId="0" applyFont="1" applyBorder="1"/>
    <xf numFmtId="0" fontId="1" fillId="4" borderId="0" xfId="5" applyBorder="1"/>
    <xf numFmtId="0" fontId="3" fillId="0" borderId="8" xfId="0" applyFont="1" applyBorder="1" applyAlignment="1">
      <alignment horizontal="center"/>
    </xf>
    <xf numFmtId="0" fontId="1" fillId="4" borderId="6" xfId="5" applyBorder="1"/>
    <xf numFmtId="0" fontId="2" fillId="3" borderId="10" xfId="4" applyFont="1" applyBorder="1"/>
    <xf numFmtId="0" fontId="2" fillId="3" borderId="11" xfId="4" applyFont="1" applyBorder="1"/>
    <xf numFmtId="0" fontId="2" fillId="3" borderId="12" xfId="4" applyFont="1" applyBorder="1"/>
    <xf numFmtId="0" fontId="3" fillId="4" borderId="8" xfId="5" applyFont="1" applyBorder="1"/>
    <xf numFmtId="0" fontId="3" fillId="4" borderId="1" xfId="5" applyFont="1" applyBorder="1"/>
    <xf numFmtId="0" fontId="3" fillId="4" borderId="9" xfId="5" applyFont="1" applyBorder="1"/>
    <xf numFmtId="0" fontId="3" fillId="0" borderId="6" xfId="0" applyFont="1" applyBorder="1"/>
    <xf numFmtId="164" fontId="5" fillId="0" borderId="0" xfId="1" applyNumberFormat="1" applyFont="1" applyBorder="1" applyAlignment="1">
      <alignment horizontal="left"/>
    </xf>
    <xf numFmtId="3" fontId="0" fillId="0" borderId="0" xfId="0" applyNumberFormat="1" applyBorder="1"/>
    <xf numFmtId="0" fontId="3" fillId="0" borderId="0" xfId="0" applyFont="1" applyBorder="1" applyAlignment="1">
      <alignment horizontal="center"/>
    </xf>
    <xf numFmtId="164" fontId="0" fillId="0" borderId="3" xfId="0" applyNumberFormat="1" applyBorder="1" applyAlignment="1">
      <alignment vertical="center"/>
    </xf>
    <xf numFmtId="164" fontId="0" fillId="0" borderId="9" xfId="0" applyNumberFormat="1" applyBorder="1" applyAlignment="1">
      <alignment vertical="center"/>
    </xf>
    <xf numFmtId="0" fontId="0" fillId="0" borderId="8" xfId="0" applyBorder="1" applyAlignment="1">
      <alignment horizontal="left"/>
    </xf>
    <xf numFmtId="0" fontId="0" fillId="0" borderId="6" xfId="0" applyBorder="1"/>
    <xf numFmtId="164" fontId="0" fillId="0" borderId="4" xfId="0" applyNumberFormat="1" applyBorder="1"/>
    <xf numFmtId="0" fontId="0" fillId="0" borderId="10" xfId="0" applyBorder="1"/>
    <xf numFmtId="0" fontId="0" fillId="0" borderId="11" xfId="0" applyBorder="1"/>
    <xf numFmtId="164" fontId="0" fillId="0" borderId="12" xfId="0" applyNumberFormat="1" applyBorder="1"/>
    <xf numFmtId="0" fontId="3" fillId="4" borderId="1" xfId="5" applyFont="1" applyBorder="1" applyAlignment="1">
      <alignment horizontal="center"/>
    </xf>
    <xf numFmtId="0" fontId="3" fillId="4" borderId="10" xfId="5" applyFont="1" applyBorder="1" applyAlignment="1">
      <alignment horizontal="center"/>
    </xf>
    <xf numFmtId="0" fontId="3" fillId="4" borderId="11" xfId="5" applyFont="1" applyBorder="1" applyAlignment="1">
      <alignment horizontal="center"/>
    </xf>
    <xf numFmtId="0" fontId="3" fillId="4" borderId="12" xfId="5" applyFont="1" applyBorder="1" applyAlignment="1">
      <alignment horizontal="center"/>
    </xf>
    <xf numFmtId="0" fontId="3" fillId="0" borderId="0" xfId="0" applyFont="1" applyBorder="1"/>
    <xf numFmtId="164" fontId="0" fillId="0" borderId="3" xfId="0" applyNumberFormat="1" applyBorder="1"/>
    <xf numFmtId="0" fontId="3" fillId="4" borderId="8" xfId="5" applyFont="1" applyBorder="1" applyAlignment="1">
      <alignment horizontal="center"/>
    </xf>
    <xf numFmtId="0" fontId="3" fillId="4" borderId="9" xfId="5" applyFont="1" applyBorder="1" applyAlignment="1">
      <alignment horizontal="center"/>
    </xf>
    <xf numFmtId="3" fontId="0" fillId="0" borderId="4" xfId="0" applyNumberFormat="1" applyBorder="1"/>
    <xf numFmtId="3" fontId="0" fillId="0" borderId="1" xfId="0" applyNumberFormat="1" applyBorder="1"/>
    <xf numFmtId="0" fontId="3" fillId="0" borderId="4" xfId="0" applyFont="1" applyBorder="1"/>
    <xf numFmtId="0" fontId="0" fillId="0" borderId="6" xfId="0" applyBorder="1" applyAlignment="1">
      <alignment horizontal="left"/>
    </xf>
    <xf numFmtId="164" fontId="0" fillId="0" borderId="4" xfId="1" applyNumberFormat="1" applyFont="1" applyBorder="1"/>
    <xf numFmtId="0" fontId="3" fillId="0" borderId="10" xfId="0" applyFont="1" applyBorder="1" applyAlignment="1">
      <alignment horizontal="center"/>
    </xf>
    <xf numFmtId="164" fontId="0" fillId="0" borderId="11" xfId="1" applyNumberFormat="1" applyFont="1" applyBorder="1"/>
    <xf numFmtId="0" fontId="3" fillId="0" borderId="7" xfId="0" applyFont="1" applyBorder="1" applyAlignment="1">
      <alignment horizontal="center"/>
    </xf>
    <xf numFmtId="164" fontId="0" fillId="0" borderId="7" xfId="0" applyNumberFormat="1" applyBorder="1"/>
    <xf numFmtId="0" fontId="3" fillId="4" borderId="3" xfId="5" applyFont="1" applyBorder="1"/>
    <xf numFmtId="0" fontId="3" fillId="4" borderId="13" xfId="5" applyFont="1" applyBorder="1" applyAlignment="1">
      <alignment horizontal="center"/>
    </xf>
    <xf numFmtId="0" fontId="3" fillId="4" borderId="14" xfId="5" applyFont="1" applyBorder="1" applyAlignment="1">
      <alignment horizontal="center"/>
    </xf>
    <xf numFmtId="0" fontId="0" fillId="0" borderId="15" xfId="0" applyBorder="1"/>
    <xf numFmtId="0" fontId="0" fillId="0" borderId="16" xfId="0" applyBorder="1"/>
    <xf numFmtId="0" fontId="3" fillId="4" borderId="17" xfId="5" applyFont="1" applyBorder="1" applyAlignment="1">
      <alignment horizontal="center"/>
    </xf>
    <xf numFmtId="0" fontId="3" fillId="4" borderId="18" xfId="5" applyFont="1" applyBorder="1" applyAlignment="1">
      <alignment horizontal="center"/>
    </xf>
    <xf numFmtId="0" fontId="3" fillId="4" borderId="19" xfId="5" applyFont="1" applyBorder="1" applyAlignment="1">
      <alignment horizontal="center"/>
    </xf>
    <xf numFmtId="0" fontId="0" fillId="0" borderId="20" xfId="0" applyBorder="1"/>
    <xf numFmtId="0" fontId="3" fillId="4" borderId="21" xfId="5" applyFont="1" applyBorder="1" applyAlignment="1">
      <alignment horizontal="center"/>
    </xf>
    <xf numFmtId="0" fontId="0" fillId="0" borderId="22" xfId="0" applyBorder="1"/>
    <xf numFmtId="0" fontId="0" fillId="0" borderId="23" xfId="0" applyBorder="1"/>
    <xf numFmtId="164" fontId="0" fillId="0" borderId="8" xfId="1" applyNumberFormat="1" applyFont="1" applyBorder="1"/>
    <xf numFmtId="164" fontId="3" fillId="0" borderId="0" xfId="0" applyNumberFormat="1" applyFont="1" applyBorder="1"/>
    <xf numFmtId="0" fontId="3" fillId="0" borderId="7" xfId="0" applyFont="1" applyBorder="1" applyAlignment="1">
      <alignment horizontal="left"/>
    </xf>
    <xf numFmtId="6" fontId="0" fillId="0" borderId="8" xfId="0" applyNumberFormat="1" applyBorder="1"/>
    <xf numFmtId="0" fontId="0" fillId="0" borderId="0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8" xfId="0" applyBorder="1" applyAlignment="1">
      <alignment horizontal="left"/>
    </xf>
    <xf numFmtId="0" fontId="3" fillId="4" borderId="11" xfId="5" applyFont="1" applyBorder="1" applyAlignment="1">
      <alignment horizontal="center"/>
    </xf>
    <xf numFmtId="164" fontId="0" fillId="0" borderId="0" xfId="1" applyNumberFormat="1" applyFont="1" applyBorder="1" applyAlignment="1">
      <alignment horizontal="center" vertical="center"/>
    </xf>
    <xf numFmtId="164" fontId="0" fillId="0" borderId="1" xfId="1" applyNumberFormat="1" applyFont="1" applyBorder="1" applyAlignment="1">
      <alignment horizontal="center" vertical="center"/>
    </xf>
    <xf numFmtId="0" fontId="3" fillId="4" borderId="14" xfId="5" applyFont="1" applyBorder="1" applyAlignment="1">
      <alignment horizontal="center"/>
    </xf>
    <xf numFmtId="0" fontId="2" fillId="3" borderId="24" xfId="4" applyFont="1" applyBorder="1"/>
    <xf numFmtId="164" fontId="3" fillId="0" borderId="9" xfId="0" applyNumberFormat="1" applyFont="1" applyBorder="1"/>
    <xf numFmtId="164" fontId="3" fillId="0" borderId="0" xfId="1" applyNumberFormat="1" applyFont="1" applyBorder="1"/>
    <xf numFmtId="0" fontId="3" fillId="4" borderId="7" xfId="5" applyFont="1" applyBorder="1" applyAlignment="1">
      <alignment horizontal="left"/>
    </xf>
    <xf numFmtId="165" fontId="0" fillId="0" borderId="0" xfId="0" applyNumberFormat="1" applyBorder="1"/>
    <xf numFmtId="0" fontId="0" fillId="0" borderId="25" xfId="0" applyBorder="1"/>
    <xf numFmtId="0" fontId="0" fillId="0" borderId="26" xfId="0" applyBorder="1"/>
    <xf numFmtId="164" fontId="0" fillId="0" borderId="23" xfId="0" applyNumberFormat="1" applyBorder="1"/>
    <xf numFmtId="164" fontId="0" fillId="0" borderId="9" xfId="0" applyNumberFormat="1" applyBorder="1"/>
    <xf numFmtId="6" fontId="0" fillId="0" borderId="3" xfId="0" applyNumberFormat="1" applyBorder="1"/>
    <xf numFmtId="0" fontId="3" fillId="4" borderId="6" xfId="5" applyFont="1" applyBorder="1" applyAlignment="1">
      <alignment horizontal="left"/>
    </xf>
    <xf numFmtId="3" fontId="0" fillId="0" borderId="0" xfId="1" applyNumberFormat="1" applyFont="1" applyBorder="1"/>
    <xf numFmtId="0" fontId="3" fillId="4" borderId="1" xfId="5" applyFont="1" applyBorder="1" applyAlignment="1">
      <alignment horizontal="center"/>
    </xf>
    <xf numFmtId="0" fontId="3" fillId="4" borderId="11" xfId="5" applyFon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4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0" xfId="0" applyNumberFormat="1" applyBorder="1" applyAlignment="1">
      <alignment horizontal="center" vertical="center"/>
    </xf>
    <xf numFmtId="164" fontId="0" fillId="0" borderId="0" xfId="1" applyNumberFormat="1" applyFont="1" applyBorder="1" applyAlignment="1">
      <alignment horizontal="center" vertical="center"/>
    </xf>
    <xf numFmtId="164" fontId="0" fillId="0" borderId="1" xfId="1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4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0" xfId="0" applyAlignment="1">
      <alignment horizontal="left"/>
    </xf>
    <xf numFmtId="164" fontId="3" fillId="0" borderId="3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4" borderId="14" xfId="5" applyFont="1" applyBorder="1" applyAlignment="1">
      <alignment horizontal="center"/>
    </xf>
    <xf numFmtId="0" fontId="3" fillId="4" borderId="19" xfId="5" applyFont="1" applyBorder="1" applyAlignment="1">
      <alignment horizontal="center"/>
    </xf>
    <xf numFmtId="0" fontId="3" fillId="4" borderId="7" xfId="5" applyFont="1" applyBorder="1" applyAlignment="1">
      <alignment horizontal="center"/>
    </xf>
    <xf numFmtId="0" fontId="3" fillId="4" borderId="0" xfId="5" applyFont="1" applyBorder="1" applyAlignment="1">
      <alignment horizontal="center"/>
    </xf>
    <xf numFmtId="0" fontId="3" fillId="4" borderId="6" xfId="5" applyFont="1" applyBorder="1" applyAlignment="1">
      <alignment horizontal="center"/>
    </xf>
    <xf numFmtId="0" fontId="3" fillId="4" borderId="4" xfId="5" applyFont="1" applyBorder="1" applyAlignment="1">
      <alignment horizontal="center"/>
    </xf>
    <xf numFmtId="9" fontId="0" fillId="0" borderId="3" xfId="0" applyNumberFormat="1" applyBorder="1" applyAlignment="1">
      <alignment horizontal="center" vertical="center"/>
    </xf>
    <xf numFmtId="9" fontId="0" fillId="0" borderId="0" xfId="3" applyNumberFormat="1" applyFont="1" applyBorder="1" applyAlignment="1">
      <alignment horizontal="center" vertical="center"/>
    </xf>
    <xf numFmtId="0" fontId="0" fillId="0" borderId="1" xfId="3" applyNumberFormat="1" applyFont="1" applyBorder="1" applyAlignment="1">
      <alignment horizontal="center" vertical="center"/>
    </xf>
    <xf numFmtId="9" fontId="0" fillId="0" borderId="0" xfId="0" applyNumberForma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3" fillId="0" borderId="7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0" xfId="0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3" fillId="0" borderId="7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5" borderId="7" xfId="7" applyFont="1" applyBorder="1" applyAlignment="1">
      <alignment horizontal="center"/>
    </xf>
    <xf numFmtId="0" fontId="3" fillId="5" borderId="0" xfId="7" applyFont="1" applyBorder="1" applyAlignment="1">
      <alignment horizontal="center"/>
    </xf>
    <xf numFmtId="0" fontId="3" fillId="0" borderId="8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44" fontId="0" fillId="0" borderId="0" xfId="1" applyFont="1" applyBorder="1" applyAlignment="1">
      <alignment horizontal="left"/>
    </xf>
    <xf numFmtId="43" fontId="0" fillId="0" borderId="0" xfId="6" applyFont="1" applyBorder="1" applyAlignment="1">
      <alignment horizontal="left"/>
    </xf>
    <xf numFmtId="43" fontId="0" fillId="0" borderId="0" xfId="0" applyNumberFormat="1" applyBorder="1" applyAlignment="1">
      <alignment horizontal="left"/>
    </xf>
  </cellXfs>
  <cellStyles count="8">
    <cellStyle name="40% - Accent2" xfId="7" builtinId="35"/>
    <cellStyle name="60% - Accent2" xfId="5" builtinId="36"/>
    <cellStyle name="Accent2" xfId="4" builtinId="33"/>
    <cellStyle name="Accent3" xfId="2" builtinId="37"/>
    <cellStyle name="Komma" xfId="6" builtinId="3"/>
    <cellStyle name="Procent" xfId="3" builtinId="5"/>
    <cellStyle name="Standaard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28</xdr:row>
      <xdr:rowOff>165100</xdr:rowOff>
    </xdr:from>
    <xdr:to>
      <xdr:col>12</xdr:col>
      <xdr:colOff>31750</xdr:colOff>
      <xdr:row>28</xdr:row>
      <xdr:rowOff>177800</xdr:rowOff>
    </xdr:to>
    <xdr:cxnSp macro="">
      <xdr:nvCxnSpPr>
        <xdr:cNvPr id="3" name="Rechte verbindingslijn met pijl 2">
          <a:extLst>
            <a:ext uri="{FF2B5EF4-FFF2-40B4-BE49-F238E27FC236}">
              <a16:creationId xmlns:a16="http://schemas.microsoft.com/office/drawing/2014/main" id="{ABF40206-6FC3-41B0-8567-A918DD997523}"/>
            </a:ext>
          </a:extLst>
        </xdr:cNvPr>
        <xdr:cNvCxnSpPr/>
      </xdr:nvCxnSpPr>
      <xdr:spPr>
        <a:xfrm flipV="1">
          <a:off x="3702050" y="5340350"/>
          <a:ext cx="4711700" cy="1270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6350</xdr:colOff>
      <xdr:row>28</xdr:row>
      <xdr:rowOff>165100</xdr:rowOff>
    </xdr:from>
    <xdr:to>
      <xdr:col>11</xdr:col>
      <xdr:colOff>565150</xdr:colOff>
      <xdr:row>33</xdr:row>
      <xdr:rowOff>50800</xdr:rowOff>
    </xdr:to>
    <xdr:cxnSp macro="">
      <xdr:nvCxnSpPr>
        <xdr:cNvPr id="5" name="Rechte verbindingslijn 4">
          <a:extLst>
            <a:ext uri="{FF2B5EF4-FFF2-40B4-BE49-F238E27FC236}">
              <a16:creationId xmlns:a16="http://schemas.microsoft.com/office/drawing/2014/main" id="{7E1D25BC-399E-4F16-AFBC-57CBA0085668}"/>
            </a:ext>
          </a:extLst>
        </xdr:cNvPr>
        <xdr:cNvCxnSpPr/>
      </xdr:nvCxnSpPr>
      <xdr:spPr>
        <a:xfrm flipH="1">
          <a:off x="3708400" y="5340350"/>
          <a:ext cx="4629150" cy="8064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6350</xdr:colOff>
      <xdr:row>35</xdr:row>
      <xdr:rowOff>171450</xdr:rowOff>
    </xdr:from>
    <xdr:to>
      <xdr:col>12</xdr:col>
      <xdr:colOff>0</xdr:colOff>
      <xdr:row>36</xdr:row>
      <xdr:rowOff>0</xdr:rowOff>
    </xdr:to>
    <xdr:cxnSp macro="">
      <xdr:nvCxnSpPr>
        <xdr:cNvPr id="7" name="Rechte verbindingslijn met pijl 6">
          <a:extLst>
            <a:ext uri="{FF2B5EF4-FFF2-40B4-BE49-F238E27FC236}">
              <a16:creationId xmlns:a16="http://schemas.microsoft.com/office/drawing/2014/main" id="{55F97E0F-0AB3-420C-BF9D-B3567EE8531B}"/>
            </a:ext>
          </a:extLst>
        </xdr:cNvPr>
        <xdr:cNvCxnSpPr/>
      </xdr:nvCxnSpPr>
      <xdr:spPr>
        <a:xfrm>
          <a:off x="3708400" y="6635750"/>
          <a:ext cx="4673600" cy="1270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60</xdr:row>
      <xdr:rowOff>165100</xdr:rowOff>
    </xdr:from>
    <xdr:to>
      <xdr:col>12</xdr:col>
      <xdr:colOff>31750</xdr:colOff>
      <xdr:row>60</xdr:row>
      <xdr:rowOff>177800</xdr:rowOff>
    </xdr:to>
    <xdr:cxnSp macro="">
      <xdr:nvCxnSpPr>
        <xdr:cNvPr id="9" name="Rechte verbindingslijn met pijl 8">
          <a:extLst>
            <a:ext uri="{FF2B5EF4-FFF2-40B4-BE49-F238E27FC236}">
              <a16:creationId xmlns:a16="http://schemas.microsoft.com/office/drawing/2014/main" id="{D3843136-FDE4-40A7-8312-01FF7D50D422}"/>
            </a:ext>
          </a:extLst>
        </xdr:cNvPr>
        <xdr:cNvCxnSpPr/>
      </xdr:nvCxnSpPr>
      <xdr:spPr>
        <a:xfrm flipV="1">
          <a:off x="3873500" y="5340350"/>
          <a:ext cx="4787900" cy="1270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6350</xdr:colOff>
      <xdr:row>60</xdr:row>
      <xdr:rowOff>165100</xdr:rowOff>
    </xdr:from>
    <xdr:to>
      <xdr:col>11</xdr:col>
      <xdr:colOff>565150</xdr:colOff>
      <xdr:row>65</xdr:row>
      <xdr:rowOff>50800</xdr:rowOff>
    </xdr:to>
    <xdr:cxnSp macro="">
      <xdr:nvCxnSpPr>
        <xdr:cNvPr id="10" name="Rechte verbindingslijn 9">
          <a:extLst>
            <a:ext uri="{FF2B5EF4-FFF2-40B4-BE49-F238E27FC236}">
              <a16:creationId xmlns:a16="http://schemas.microsoft.com/office/drawing/2014/main" id="{0253FCF4-76CB-424B-BF16-00DC4081AD52}"/>
            </a:ext>
          </a:extLst>
        </xdr:cNvPr>
        <xdr:cNvCxnSpPr/>
      </xdr:nvCxnSpPr>
      <xdr:spPr>
        <a:xfrm flipH="1">
          <a:off x="3879850" y="5340350"/>
          <a:ext cx="4705350" cy="8064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6350</xdr:colOff>
      <xdr:row>67</xdr:row>
      <xdr:rowOff>171450</xdr:rowOff>
    </xdr:from>
    <xdr:to>
      <xdr:col>12</xdr:col>
      <xdr:colOff>0</xdr:colOff>
      <xdr:row>68</xdr:row>
      <xdr:rowOff>0</xdr:rowOff>
    </xdr:to>
    <xdr:cxnSp macro="">
      <xdr:nvCxnSpPr>
        <xdr:cNvPr id="11" name="Rechte verbindingslijn met pijl 10">
          <a:extLst>
            <a:ext uri="{FF2B5EF4-FFF2-40B4-BE49-F238E27FC236}">
              <a16:creationId xmlns:a16="http://schemas.microsoft.com/office/drawing/2014/main" id="{5C30AAE4-22F3-425E-AC4A-6C5139C7CA9E}"/>
            </a:ext>
          </a:extLst>
        </xdr:cNvPr>
        <xdr:cNvCxnSpPr/>
      </xdr:nvCxnSpPr>
      <xdr:spPr>
        <a:xfrm>
          <a:off x="3879850" y="6635750"/>
          <a:ext cx="4749800" cy="1270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94</xdr:row>
      <xdr:rowOff>165100</xdr:rowOff>
    </xdr:from>
    <xdr:to>
      <xdr:col>12</xdr:col>
      <xdr:colOff>31750</xdr:colOff>
      <xdr:row>94</xdr:row>
      <xdr:rowOff>177800</xdr:rowOff>
    </xdr:to>
    <xdr:cxnSp macro="">
      <xdr:nvCxnSpPr>
        <xdr:cNvPr id="12" name="Rechte verbindingslijn met pijl 11">
          <a:extLst>
            <a:ext uri="{FF2B5EF4-FFF2-40B4-BE49-F238E27FC236}">
              <a16:creationId xmlns:a16="http://schemas.microsoft.com/office/drawing/2014/main" id="{7FF95A39-1A3B-4626-8CE9-56DD47133CB8}"/>
            </a:ext>
          </a:extLst>
        </xdr:cNvPr>
        <xdr:cNvCxnSpPr/>
      </xdr:nvCxnSpPr>
      <xdr:spPr>
        <a:xfrm flipV="1">
          <a:off x="4013200" y="11233150"/>
          <a:ext cx="4787900" cy="1270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6350</xdr:colOff>
      <xdr:row>94</xdr:row>
      <xdr:rowOff>165100</xdr:rowOff>
    </xdr:from>
    <xdr:to>
      <xdr:col>11</xdr:col>
      <xdr:colOff>565150</xdr:colOff>
      <xdr:row>99</xdr:row>
      <xdr:rowOff>50800</xdr:rowOff>
    </xdr:to>
    <xdr:cxnSp macro="">
      <xdr:nvCxnSpPr>
        <xdr:cNvPr id="13" name="Rechte verbindingslijn 12">
          <a:extLst>
            <a:ext uri="{FF2B5EF4-FFF2-40B4-BE49-F238E27FC236}">
              <a16:creationId xmlns:a16="http://schemas.microsoft.com/office/drawing/2014/main" id="{0DC7552A-7A23-4E97-BE28-9A0D5E50CA89}"/>
            </a:ext>
          </a:extLst>
        </xdr:cNvPr>
        <xdr:cNvCxnSpPr/>
      </xdr:nvCxnSpPr>
      <xdr:spPr>
        <a:xfrm flipH="1">
          <a:off x="4019550" y="11233150"/>
          <a:ext cx="4705350" cy="8064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6350</xdr:colOff>
      <xdr:row>101</xdr:row>
      <xdr:rowOff>171450</xdr:rowOff>
    </xdr:from>
    <xdr:to>
      <xdr:col>12</xdr:col>
      <xdr:colOff>0</xdr:colOff>
      <xdr:row>102</xdr:row>
      <xdr:rowOff>0</xdr:rowOff>
    </xdr:to>
    <xdr:cxnSp macro="">
      <xdr:nvCxnSpPr>
        <xdr:cNvPr id="14" name="Rechte verbindingslijn met pijl 13">
          <a:extLst>
            <a:ext uri="{FF2B5EF4-FFF2-40B4-BE49-F238E27FC236}">
              <a16:creationId xmlns:a16="http://schemas.microsoft.com/office/drawing/2014/main" id="{D6F12756-795E-4E68-93A0-D0748A973629}"/>
            </a:ext>
          </a:extLst>
        </xdr:cNvPr>
        <xdr:cNvCxnSpPr/>
      </xdr:nvCxnSpPr>
      <xdr:spPr>
        <a:xfrm>
          <a:off x="4019550" y="12528550"/>
          <a:ext cx="4749800" cy="1270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124</xdr:row>
      <xdr:rowOff>165100</xdr:rowOff>
    </xdr:from>
    <xdr:to>
      <xdr:col>12</xdr:col>
      <xdr:colOff>31750</xdr:colOff>
      <xdr:row>124</xdr:row>
      <xdr:rowOff>177800</xdr:rowOff>
    </xdr:to>
    <xdr:cxnSp macro="">
      <xdr:nvCxnSpPr>
        <xdr:cNvPr id="15" name="Rechte verbindingslijn met pijl 14">
          <a:extLst>
            <a:ext uri="{FF2B5EF4-FFF2-40B4-BE49-F238E27FC236}">
              <a16:creationId xmlns:a16="http://schemas.microsoft.com/office/drawing/2014/main" id="{3C2415DF-65A9-4D32-89FF-E59B524F2DD9}"/>
            </a:ext>
          </a:extLst>
        </xdr:cNvPr>
        <xdr:cNvCxnSpPr/>
      </xdr:nvCxnSpPr>
      <xdr:spPr>
        <a:xfrm flipV="1">
          <a:off x="4013200" y="17494250"/>
          <a:ext cx="4787900" cy="1270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6350</xdr:colOff>
      <xdr:row>124</xdr:row>
      <xdr:rowOff>165100</xdr:rowOff>
    </xdr:from>
    <xdr:to>
      <xdr:col>11</xdr:col>
      <xdr:colOff>565150</xdr:colOff>
      <xdr:row>129</xdr:row>
      <xdr:rowOff>50800</xdr:rowOff>
    </xdr:to>
    <xdr:cxnSp macro="">
      <xdr:nvCxnSpPr>
        <xdr:cNvPr id="16" name="Rechte verbindingslijn 15">
          <a:extLst>
            <a:ext uri="{FF2B5EF4-FFF2-40B4-BE49-F238E27FC236}">
              <a16:creationId xmlns:a16="http://schemas.microsoft.com/office/drawing/2014/main" id="{84B2EE33-79F9-4BCF-867E-AD7DBF7A5873}"/>
            </a:ext>
          </a:extLst>
        </xdr:cNvPr>
        <xdr:cNvCxnSpPr/>
      </xdr:nvCxnSpPr>
      <xdr:spPr>
        <a:xfrm flipH="1">
          <a:off x="4019550" y="17494250"/>
          <a:ext cx="4705350" cy="8064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6350</xdr:colOff>
      <xdr:row>131</xdr:row>
      <xdr:rowOff>171450</xdr:rowOff>
    </xdr:from>
    <xdr:to>
      <xdr:col>12</xdr:col>
      <xdr:colOff>0</xdr:colOff>
      <xdr:row>132</xdr:row>
      <xdr:rowOff>0</xdr:rowOff>
    </xdr:to>
    <xdr:cxnSp macro="">
      <xdr:nvCxnSpPr>
        <xdr:cNvPr id="17" name="Rechte verbindingslijn met pijl 16">
          <a:extLst>
            <a:ext uri="{FF2B5EF4-FFF2-40B4-BE49-F238E27FC236}">
              <a16:creationId xmlns:a16="http://schemas.microsoft.com/office/drawing/2014/main" id="{1BB69A0A-46AA-4C2F-BADC-B856EB6794AA}"/>
            </a:ext>
          </a:extLst>
        </xdr:cNvPr>
        <xdr:cNvCxnSpPr/>
      </xdr:nvCxnSpPr>
      <xdr:spPr>
        <a:xfrm>
          <a:off x="4019550" y="18789650"/>
          <a:ext cx="4749800" cy="1270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39</xdr:row>
      <xdr:rowOff>165100</xdr:rowOff>
    </xdr:from>
    <xdr:to>
      <xdr:col>12</xdr:col>
      <xdr:colOff>31750</xdr:colOff>
      <xdr:row>39</xdr:row>
      <xdr:rowOff>177800</xdr:rowOff>
    </xdr:to>
    <xdr:cxnSp macro="">
      <xdr:nvCxnSpPr>
        <xdr:cNvPr id="2" name="Rechte verbindingslijn met pijl 1">
          <a:extLst>
            <a:ext uri="{FF2B5EF4-FFF2-40B4-BE49-F238E27FC236}">
              <a16:creationId xmlns:a16="http://schemas.microsoft.com/office/drawing/2014/main" id="{11AB68E0-A3CF-4E56-8239-66F194C15183}"/>
            </a:ext>
          </a:extLst>
        </xdr:cNvPr>
        <xdr:cNvCxnSpPr/>
      </xdr:nvCxnSpPr>
      <xdr:spPr>
        <a:xfrm flipV="1">
          <a:off x="4013200" y="23018750"/>
          <a:ext cx="4787900" cy="1270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6350</xdr:colOff>
      <xdr:row>39</xdr:row>
      <xdr:rowOff>165100</xdr:rowOff>
    </xdr:from>
    <xdr:to>
      <xdr:col>11</xdr:col>
      <xdr:colOff>565150</xdr:colOff>
      <xdr:row>44</xdr:row>
      <xdr:rowOff>50800</xdr:rowOff>
    </xdr:to>
    <xdr:cxnSp macro="">
      <xdr:nvCxnSpPr>
        <xdr:cNvPr id="3" name="Rechte verbindingslijn 2">
          <a:extLst>
            <a:ext uri="{FF2B5EF4-FFF2-40B4-BE49-F238E27FC236}">
              <a16:creationId xmlns:a16="http://schemas.microsoft.com/office/drawing/2014/main" id="{13D96FE2-E50F-41E0-B236-CB04F37AA7E3}"/>
            </a:ext>
          </a:extLst>
        </xdr:cNvPr>
        <xdr:cNvCxnSpPr/>
      </xdr:nvCxnSpPr>
      <xdr:spPr>
        <a:xfrm flipH="1">
          <a:off x="4019550" y="23018750"/>
          <a:ext cx="4705350" cy="8064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6350</xdr:colOff>
      <xdr:row>46</xdr:row>
      <xdr:rowOff>171450</xdr:rowOff>
    </xdr:from>
    <xdr:to>
      <xdr:col>12</xdr:col>
      <xdr:colOff>0</xdr:colOff>
      <xdr:row>47</xdr:row>
      <xdr:rowOff>0</xdr:rowOff>
    </xdr:to>
    <xdr:cxnSp macro="">
      <xdr:nvCxnSpPr>
        <xdr:cNvPr id="4" name="Rechte verbindingslijn met pijl 3">
          <a:extLst>
            <a:ext uri="{FF2B5EF4-FFF2-40B4-BE49-F238E27FC236}">
              <a16:creationId xmlns:a16="http://schemas.microsoft.com/office/drawing/2014/main" id="{C775584A-BF34-4AEB-A62E-DD07547C0BAC}"/>
            </a:ext>
          </a:extLst>
        </xdr:cNvPr>
        <xdr:cNvCxnSpPr/>
      </xdr:nvCxnSpPr>
      <xdr:spPr>
        <a:xfrm>
          <a:off x="4006850" y="8593138"/>
          <a:ext cx="5295900" cy="1905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</xdr:colOff>
      <xdr:row>211</xdr:row>
      <xdr:rowOff>184150</xdr:rowOff>
    </xdr:from>
    <xdr:to>
      <xdr:col>12</xdr:col>
      <xdr:colOff>50800</xdr:colOff>
      <xdr:row>211</xdr:row>
      <xdr:rowOff>196850</xdr:rowOff>
    </xdr:to>
    <xdr:cxnSp macro="">
      <xdr:nvCxnSpPr>
        <xdr:cNvPr id="3" name="Rechte verbindingslijn met pijl 2">
          <a:extLst>
            <a:ext uri="{FF2B5EF4-FFF2-40B4-BE49-F238E27FC236}">
              <a16:creationId xmlns:a16="http://schemas.microsoft.com/office/drawing/2014/main" id="{B9C457DF-BB44-4B63-AE92-DC9DED945EFD}"/>
            </a:ext>
          </a:extLst>
        </xdr:cNvPr>
        <xdr:cNvCxnSpPr/>
      </xdr:nvCxnSpPr>
      <xdr:spPr>
        <a:xfrm flipV="1">
          <a:off x="3267075" y="40427275"/>
          <a:ext cx="5842000" cy="1270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216</xdr:row>
      <xdr:rowOff>165100</xdr:rowOff>
    </xdr:from>
    <xdr:to>
      <xdr:col>12</xdr:col>
      <xdr:colOff>31750</xdr:colOff>
      <xdr:row>216</xdr:row>
      <xdr:rowOff>177800</xdr:rowOff>
    </xdr:to>
    <xdr:cxnSp macro="">
      <xdr:nvCxnSpPr>
        <xdr:cNvPr id="4" name="Rechte verbindingslijn met pijl 3">
          <a:extLst>
            <a:ext uri="{FF2B5EF4-FFF2-40B4-BE49-F238E27FC236}">
              <a16:creationId xmlns:a16="http://schemas.microsoft.com/office/drawing/2014/main" id="{119BC9CA-0102-44A4-BAB9-B83180611217}"/>
            </a:ext>
          </a:extLst>
        </xdr:cNvPr>
        <xdr:cNvCxnSpPr/>
      </xdr:nvCxnSpPr>
      <xdr:spPr>
        <a:xfrm flipV="1">
          <a:off x="3848100" y="5527675"/>
          <a:ext cx="4784725" cy="1270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AB185F-A59A-4608-AD2A-A6F6391BCBA8}">
  <dimension ref="A1:T133"/>
  <sheetViews>
    <sheetView topLeftCell="A106" workbookViewId="0">
      <selection activeCell="C122" sqref="C122:G122"/>
    </sheetView>
  </sheetViews>
  <sheetFormatPr defaultRowHeight="14.5" x14ac:dyDescent="0.35"/>
  <cols>
    <col min="2" max="2" width="10.7265625" customWidth="1"/>
    <col min="3" max="3" width="13.54296875" bestFit="1" customWidth="1"/>
    <col min="4" max="5" width="12.1796875" bestFit="1" customWidth="1"/>
    <col min="8" max="8" width="12.26953125" bestFit="1" customWidth="1"/>
    <col min="9" max="9" width="12.1796875" bestFit="1" customWidth="1"/>
    <col min="10" max="10" width="10.26953125" customWidth="1"/>
    <col min="14" max="14" width="9.7265625" bestFit="1" customWidth="1"/>
  </cols>
  <sheetData>
    <row r="1" spans="1:12" x14ac:dyDescent="0.35">
      <c r="A1" s="23" t="s">
        <v>28</v>
      </c>
      <c r="B1" s="58"/>
      <c r="C1" s="12"/>
      <c r="D1" s="12"/>
      <c r="E1" s="12"/>
      <c r="F1" s="12"/>
      <c r="G1" s="12"/>
      <c r="H1" s="12"/>
      <c r="I1" s="12"/>
      <c r="J1" s="12"/>
      <c r="K1" s="12"/>
      <c r="L1" s="10"/>
    </row>
    <row r="2" spans="1:12" ht="16" x14ac:dyDescent="0.5">
      <c r="A2" s="23" t="s">
        <v>321</v>
      </c>
      <c r="B2" s="47" t="s">
        <v>30</v>
      </c>
      <c r="C2" s="59">
        <v>300000</v>
      </c>
      <c r="D2" s="127" t="s">
        <v>29</v>
      </c>
      <c r="E2" s="132">
        <f>C2/C3</f>
        <v>60</v>
      </c>
      <c r="F2" s="134" t="s">
        <v>33</v>
      </c>
      <c r="G2" s="5" t="s">
        <v>34</v>
      </c>
      <c r="H2" s="30">
        <v>340000</v>
      </c>
      <c r="I2" s="127" t="s">
        <v>29</v>
      </c>
      <c r="J2" s="131">
        <f>H2/H3</f>
        <v>83.950617283950621</v>
      </c>
      <c r="K2" s="127" t="s">
        <v>29</v>
      </c>
      <c r="L2" s="136">
        <f>E2+J2</f>
        <v>143.95061728395063</v>
      </c>
    </row>
    <row r="3" spans="1:12" x14ac:dyDescent="0.35">
      <c r="B3" s="43" t="s">
        <v>31</v>
      </c>
      <c r="C3" s="60">
        <v>5000</v>
      </c>
      <c r="D3" s="127"/>
      <c r="E3" s="132"/>
      <c r="F3" s="134"/>
      <c r="G3" s="61" t="s">
        <v>35</v>
      </c>
      <c r="H3" s="60">
        <v>4050</v>
      </c>
      <c r="I3" s="127"/>
      <c r="J3" s="127"/>
      <c r="K3" s="127"/>
      <c r="L3" s="129"/>
    </row>
    <row r="4" spans="1:12" x14ac:dyDescent="0.35">
      <c r="B4" s="31"/>
      <c r="C4" s="13"/>
      <c r="D4" s="13"/>
      <c r="E4" s="13"/>
      <c r="F4" s="13"/>
      <c r="G4" s="13"/>
      <c r="H4" s="13"/>
      <c r="I4" s="13"/>
      <c r="J4" s="13"/>
      <c r="K4" s="127" t="s">
        <v>29</v>
      </c>
      <c r="L4" s="62"/>
    </row>
    <row r="5" spans="1:12" x14ac:dyDescent="0.35">
      <c r="B5" s="47" t="s">
        <v>32</v>
      </c>
      <c r="C5" s="9"/>
      <c r="D5" s="21"/>
      <c r="E5" s="9">
        <f>E2/12</f>
        <v>5</v>
      </c>
      <c r="F5" s="21"/>
      <c r="G5" s="5" t="s">
        <v>33</v>
      </c>
      <c r="H5" s="21"/>
      <c r="I5" s="21"/>
      <c r="J5" s="9">
        <f>J2/12</f>
        <v>6.995884773662552</v>
      </c>
      <c r="K5" s="130"/>
      <c r="L5" s="63">
        <f>E5+J5</f>
        <v>11.995884773662553</v>
      </c>
    </row>
    <row r="7" spans="1:12" x14ac:dyDescent="0.35">
      <c r="B7" s="27"/>
      <c r="C7" s="28" t="s">
        <v>39</v>
      </c>
      <c r="D7" s="28"/>
      <c r="E7" s="28"/>
      <c r="F7" s="28"/>
      <c r="G7" s="28"/>
      <c r="H7" s="28" t="s">
        <v>37</v>
      </c>
      <c r="I7" s="28" t="s">
        <v>38</v>
      </c>
      <c r="J7" s="36" t="s">
        <v>326</v>
      </c>
    </row>
    <row r="8" spans="1:12" x14ac:dyDescent="0.35">
      <c r="A8" s="23" t="s">
        <v>323</v>
      </c>
      <c r="B8" s="37">
        <v>500</v>
      </c>
      <c r="C8" s="13" t="s">
        <v>4</v>
      </c>
      <c r="D8" s="13"/>
      <c r="E8" s="13"/>
      <c r="F8" s="13"/>
      <c r="G8" s="13"/>
      <c r="H8" s="30">
        <v>58654</v>
      </c>
      <c r="I8" s="41"/>
      <c r="J8" s="11"/>
    </row>
    <row r="9" spans="1:12" x14ac:dyDescent="0.35">
      <c r="B9" s="64" t="s">
        <v>36</v>
      </c>
      <c r="C9" s="21" t="s">
        <v>3</v>
      </c>
      <c r="D9" s="21"/>
      <c r="E9" s="21"/>
      <c r="F9" s="21"/>
      <c r="G9" s="21"/>
      <c r="H9" s="9"/>
      <c r="I9" s="17">
        <v>58654</v>
      </c>
      <c r="J9" s="33"/>
    </row>
    <row r="11" spans="1:12" x14ac:dyDescent="0.35">
      <c r="A11" s="23" t="s">
        <v>30</v>
      </c>
      <c r="B11" s="65" t="s">
        <v>68</v>
      </c>
      <c r="C11" s="12"/>
      <c r="D11" s="66">
        <f>C2/12</f>
        <v>25000</v>
      </c>
      <c r="E11" s="12" t="s">
        <v>40</v>
      </c>
      <c r="F11" s="12"/>
      <c r="G11" s="10"/>
    </row>
    <row r="12" spans="1:12" x14ac:dyDescent="0.35">
      <c r="B12" s="31" t="s">
        <v>69</v>
      </c>
      <c r="C12" s="13"/>
      <c r="D12" s="9">
        <f>4250*7</f>
        <v>29750</v>
      </c>
      <c r="E12" s="13" t="s">
        <v>41</v>
      </c>
      <c r="F12" s="13"/>
      <c r="G12" s="11"/>
    </row>
    <row r="13" spans="1:12" x14ac:dyDescent="0.35">
      <c r="B13" s="32" t="s">
        <v>42</v>
      </c>
      <c r="C13" s="21"/>
      <c r="D13" s="9">
        <f>SUM(D11:D12)</f>
        <v>54750</v>
      </c>
      <c r="E13" s="21"/>
      <c r="F13" s="21"/>
      <c r="G13" s="33"/>
    </row>
    <row r="15" spans="1:12" x14ac:dyDescent="0.35">
      <c r="A15" s="23" t="s">
        <v>52</v>
      </c>
      <c r="B15" s="27"/>
      <c r="C15" s="28" t="s">
        <v>39</v>
      </c>
      <c r="D15" s="28"/>
      <c r="E15" s="28"/>
      <c r="F15" s="28"/>
      <c r="G15" s="28"/>
      <c r="H15" s="28" t="s">
        <v>37</v>
      </c>
      <c r="I15" s="28" t="s">
        <v>38</v>
      </c>
      <c r="J15" s="36" t="s">
        <v>326</v>
      </c>
    </row>
    <row r="16" spans="1:12" x14ac:dyDescent="0.35">
      <c r="B16" s="37">
        <v>502</v>
      </c>
      <c r="C16" s="13" t="s">
        <v>6</v>
      </c>
      <c r="D16" s="13"/>
      <c r="E16" s="13"/>
      <c r="F16" s="13"/>
      <c r="G16" s="13"/>
      <c r="H16" s="41">
        <f>D13</f>
        <v>54750</v>
      </c>
      <c r="I16" s="13"/>
      <c r="J16" s="11"/>
    </row>
    <row r="17" spans="1:14" x14ac:dyDescent="0.35">
      <c r="B17" s="32" t="s">
        <v>43</v>
      </c>
      <c r="C17" s="21" t="s">
        <v>5</v>
      </c>
      <c r="D17" s="21"/>
      <c r="E17" s="21"/>
      <c r="F17" s="21"/>
      <c r="G17" s="21"/>
      <c r="H17" s="21"/>
      <c r="I17" s="9">
        <f>D13</f>
        <v>54750</v>
      </c>
      <c r="J17" s="33"/>
    </row>
    <row r="19" spans="1:14" x14ac:dyDescent="0.35">
      <c r="A19" s="23" t="s">
        <v>324</v>
      </c>
      <c r="B19" s="67" t="s">
        <v>44</v>
      </c>
      <c r="C19" s="68"/>
      <c r="D19" s="69">
        <f>4250*12</f>
        <v>51000</v>
      </c>
    </row>
    <row r="21" spans="1:14" x14ac:dyDescent="0.35">
      <c r="A21" s="23" t="s">
        <v>325</v>
      </c>
      <c r="B21" s="27"/>
      <c r="C21" s="28" t="s">
        <v>39</v>
      </c>
      <c r="D21" s="28"/>
      <c r="E21" s="28"/>
      <c r="F21" s="28"/>
      <c r="G21" s="28"/>
      <c r="H21" s="28" t="s">
        <v>37</v>
      </c>
      <c r="I21" s="28" t="s">
        <v>38</v>
      </c>
      <c r="J21" s="36" t="s">
        <v>326</v>
      </c>
    </row>
    <row r="22" spans="1:14" x14ac:dyDescent="0.35">
      <c r="B22" s="37">
        <v>520</v>
      </c>
      <c r="C22" s="125" t="s">
        <v>8</v>
      </c>
      <c r="D22" s="125"/>
      <c r="E22" s="125"/>
      <c r="F22" s="125"/>
      <c r="G22" s="125"/>
      <c r="H22" s="30">
        <f>100*12</f>
        <v>1200</v>
      </c>
      <c r="I22" s="13"/>
      <c r="J22" s="11" t="s">
        <v>47</v>
      </c>
    </row>
    <row r="23" spans="1:14" x14ac:dyDescent="0.35">
      <c r="B23" s="37">
        <v>530</v>
      </c>
      <c r="C23" s="125" t="s">
        <v>9</v>
      </c>
      <c r="D23" s="125"/>
      <c r="E23" s="125"/>
      <c r="F23" s="125"/>
      <c r="G23" s="125"/>
      <c r="H23" s="30">
        <f>400*12</f>
        <v>4800</v>
      </c>
      <c r="I23" s="13"/>
      <c r="J23" s="11" t="s">
        <v>48</v>
      </c>
    </row>
    <row r="24" spans="1:14" x14ac:dyDescent="0.35">
      <c r="B24" s="37">
        <v>550</v>
      </c>
      <c r="C24" s="125" t="s">
        <v>10</v>
      </c>
      <c r="D24" s="125"/>
      <c r="E24" s="125"/>
      <c r="F24" s="125"/>
      <c r="G24" s="125"/>
      <c r="H24" s="30">
        <f>3250*12</f>
        <v>39000</v>
      </c>
      <c r="I24" s="13"/>
      <c r="J24" s="11" t="s">
        <v>49</v>
      </c>
    </row>
    <row r="25" spans="1:14" x14ac:dyDescent="0.35">
      <c r="B25" s="37">
        <v>560</v>
      </c>
      <c r="C25" s="125" t="s">
        <v>14</v>
      </c>
      <c r="D25" s="125"/>
      <c r="E25" s="125"/>
      <c r="F25" s="125"/>
      <c r="G25" s="125"/>
      <c r="H25" s="30">
        <f>500*12</f>
        <v>6000</v>
      </c>
      <c r="I25" s="13"/>
      <c r="J25" s="11" t="s">
        <v>50</v>
      </c>
    </row>
    <row r="26" spans="1:14" x14ac:dyDescent="0.35">
      <c r="B26" s="32" t="s">
        <v>45</v>
      </c>
      <c r="C26" s="124" t="s">
        <v>46</v>
      </c>
      <c r="D26" s="124"/>
      <c r="E26" s="124"/>
      <c r="F26" s="124"/>
      <c r="G26" s="124"/>
      <c r="H26" s="21"/>
      <c r="I26" s="17">
        <f>H22+H23+H24+H25</f>
        <v>51000</v>
      </c>
      <c r="J26" s="33"/>
    </row>
    <row r="28" spans="1:14" x14ac:dyDescent="0.35">
      <c r="A28" s="23" t="s">
        <v>327</v>
      </c>
      <c r="B28" s="71" t="s">
        <v>52</v>
      </c>
      <c r="C28" s="123" t="s">
        <v>51</v>
      </c>
      <c r="D28" s="123"/>
      <c r="E28" s="123"/>
      <c r="F28" s="123"/>
      <c r="G28" s="72" t="s">
        <v>30</v>
      </c>
      <c r="H28" s="12"/>
      <c r="I28" s="72" t="s">
        <v>52</v>
      </c>
      <c r="J28" s="123" t="s">
        <v>54</v>
      </c>
      <c r="K28" s="123"/>
      <c r="L28" s="123"/>
      <c r="M28" s="123"/>
      <c r="N28" s="73" t="s">
        <v>30</v>
      </c>
    </row>
    <row r="29" spans="1:14" x14ac:dyDescent="0.35">
      <c r="B29" s="31"/>
      <c r="C29" s="12"/>
      <c r="D29" s="14">
        <f>H8</f>
        <v>58654</v>
      </c>
      <c r="E29" s="13"/>
      <c r="F29" s="13"/>
      <c r="G29" s="13"/>
      <c r="H29" s="74" t="s">
        <v>56</v>
      </c>
      <c r="I29" s="13"/>
      <c r="J29" s="12"/>
      <c r="K29" s="10"/>
      <c r="L29" s="13"/>
      <c r="M29" s="13"/>
      <c r="N29" s="75">
        <f>I17</f>
        <v>54750</v>
      </c>
    </row>
    <row r="30" spans="1:14" x14ac:dyDescent="0.35">
      <c r="B30" s="31"/>
      <c r="C30" s="13"/>
      <c r="D30" s="11"/>
      <c r="E30" s="13"/>
      <c r="F30" s="13"/>
      <c r="G30" s="13"/>
      <c r="H30" s="41">
        <f>N29-D29</f>
        <v>-3904</v>
      </c>
      <c r="I30" s="13" t="s">
        <v>57</v>
      </c>
      <c r="J30" s="13"/>
      <c r="K30" s="11"/>
      <c r="L30" s="13"/>
      <c r="M30" s="13"/>
      <c r="N30" s="11"/>
    </row>
    <row r="31" spans="1:14" x14ac:dyDescent="0.35">
      <c r="B31" s="31"/>
      <c r="C31" s="13"/>
      <c r="D31" s="11"/>
      <c r="E31" s="13"/>
      <c r="F31" s="13"/>
      <c r="G31" s="13"/>
      <c r="H31" s="13"/>
      <c r="I31" s="13"/>
      <c r="J31" s="13"/>
      <c r="K31" s="11"/>
      <c r="L31" s="13"/>
      <c r="M31" s="13"/>
      <c r="N31" s="11"/>
    </row>
    <row r="32" spans="1:14" x14ac:dyDescent="0.35">
      <c r="B32" s="31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1"/>
    </row>
    <row r="33" spans="1:20" x14ac:dyDescent="0.35">
      <c r="B33" s="31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1"/>
    </row>
    <row r="34" spans="1:20" x14ac:dyDescent="0.35">
      <c r="B34" s="31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1"/>
    </row>
    <row r="35" spans="1:20" x14ac:dyDescent="0.35">
      <c r="B35" s="76" t="s">
        <v>52</v>
      </c>
      <c r="C35" s="122" t="s">
        <v>55</v>
      </c>
      <c r="D35" s="122"/>
      <c r="E35" s="122"/>
      <c r="F35" s="122"/>
      <c r="G35" s="70" t="s">
        <v>30</v>
      </c>
      <c r="H35" s="13"/>
      <c r="I35" s="70" t="s">
        <v>52</v>
      </c>
      <c r="J35" s="122" t="s">
        <v>53</v>
      </c>
      <c r="K35" s="122"/>
      <c r="L35" s="122"/>
      <c r="M35" s="122"/>
      <c r="N35" s="77" t="s">
        <v>30</v>
      </c>
    </row>
    <row r="36" spans="1:20" x14ac:dyDescent="0.35">
      <c r="B36" s="31"/>
      <c r="C36" s="12"/>
      <c r="D36" s="15">
        <f>H16</f>
        <v>54750</v>
      </c>
      <c r="E36" s="13"/>
      <c r="F36" s="13"/>
      <c r="G36" s="13"/>
      <c r="H36" s="74" t="s">
        <v>25</v>
      </c>
      <c r="I36" s="13"/>
      <c r="J36" s="12"/>
      <c r="K36" s="10"/>
      <c r="L36" s="13"/>
      <c r="M36" s="13"/>
      <c r="N36" s="75">
        <f>D19</f>
        <v>51000</v>
      </c>
    </row>
    <row r="37" spans="1:20" x14ac:dyDescent="0.35">
      <c r="B37" s="31"/>
      <c r="C37" s="13"/>
      <c r="D37" s="11"/>
      <c r="E37" s="13"/>
      <c r="F37" s="13"/>
      <c r="G37" s="13"/>
      <c r="H37" s="41">
        <f>N36-D36</f>
        <v>-3750</v>
      </c>
      <c r="I37" s="13" t="s">
        <v>57</v>
      </c>
      <c r="J37" s="13"/>
      <c r="K37" s="11"/>
      <c r="L37" s="13"/>
      <c r="M37" s="13"/>
      <c r="N37" s="11"/>
    </row>
    <row r="38" spans="1:20" x14ac:dyDescent="0.35">
      <c r="B38" s="31"/>
      <c r="C38" s="13"/>
      <c r="D38" s="11"/>
      <c r="E38" s="13"/>
      <c r="F38" s="13"/>
      <c r="G38" s="13"/>
      <c r="H38" s="13"/>
      <c r="I38" s="13"/>
      <c r="J38" s="13"/>
      <c r="K38" s="11"/>
      <c r="L38" s="13"/>
      <c r="M38" s="13"/>
      <c r="N38" s="11"/>
    </row>
    <row r="39" spans="1:20" x14ac:dyDescent="0.35">
      <c r="B39" s="32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33"/>
    </row>
    <row r="41" spans="1:20" x14ac:dyDescent="0.35">
      <c r="A41" s="23" t="s">
        <v>328</v>
      </c>
      <c r="B41" s="58" t="s">
        <v>58</v>
      </c>
      <c r="C41" s="78">
        <v>5000</v>
      </c>
      <c r="D41" s="12"/>
      <c r="E41" s="80" t="s">
        <v>60</v>
      </c>
      <c r="F41" s="12"/>
      <c r="G41" s="10"/>
    </row>
    <row r="42" spans="1:20" x14ac:dyDescent="0.35">
      <c r="B42" s="47" t="s">
        <v>59</v>
      </c>
      <c r="C42" s="79">
        <v>4250</v>
      </c>
      <c r="D42" s="21"/>
      <c r="E42" s="44">
        <f>(C42-C41)*E5</f>
        <v>-3750</v>
      </c>
      <c r="F42" s="4" t="s">
        <v>61</v>
      </c>
      <c r="G42" s="33"/>
    </row>
    <row r="44" spans="1:20" x14ac:dyDescent="0.35">
      <c r="A44" s="16"/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</row>
    <row r="45" spans="1:20" x14ac:dyDescent="0.35">
      <c r="A45" s="23" t="s">
        <v>62</v>
      </c>
      <c r="B45" s="65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0"/>
    </row>
    <row r="46" spans="1:20" x14ac:dyDescent="0.35">
      <c r="A46" s="23" t="s">
        <v>321</v>
      </c>
      <c r="B46" s="50" t="s">
        <v>30</v>
      </c>
      <c r="C46" s="30">
        <v>100000</v>
      </c>
      <c r="D46" s="127" t="s">
        <v>29</v>
      </c>
      <c r="E46" s="131">
        <f>C46/C47</f>
        <v>25</v>
      </c>
      <c r="F46" s="134" t="s">
        <v>33</v>
      </c>
      <c r="G46" s="5" t="s">
        <v>34</v>
      </c>
      <c r="H46" s="13"/>
      <c r="I46" s="127" t="s">
        <v>29</v>
      </c>
      <c r="J46" s="132">
        <f>20</f>
        <v>20</v>
      </c>
      <c r="K46" s="13"/>
      <c r="L46" s="127" t="s">
        <v>63</v>
      </c>
      <c r="M46" s="136">
        <f>E46+J46</f>
        <v>45</v>
      </c>
    </row>
    <row r="47" spans="1:20" x14ac:dyDescent="0.35">
      <c r="B47" s="50" t="s">
        <v>31</v>
      </c>
      <c r="C47" s="21">
        <v>4000</v>
      </c>
      <c r="D47" s="130"/>
      <c r="E47" s="130"/>
      <c r="F47" s="135"/>
      <c r="G47" s="5" t="s">
        <v>35</v>
      </c>
      <c r="H47" s="21"/>
      <c r="I47" s="130"/>
      <c r="J47" s="133"/>
      <c r="K47" s="21"/>
      <c r="L47" s="130"/>
      <c r="M47" s="137"/>
    </row>
    <row r="49" spans="1:14" x14ac:dyDescent="0.35">
      <c r="A49" s="23" t="s">
        <v>323</v>
      </c>
      <c r="B49" s="139" t="s">
        <v>66</v>
      </c>
      <c r="C49" s="138"/>
      <c r="D49" s="138"/>
      <c r="E49" s="66">
        <f>C46</f>
        <v>100000</v>
      </c>
      <c r="F49" s="12" t="s">
        <v>64</v>
      </c>
      <c r="G49" s="10"/>
    </row>
    <row r="50" spans="1:14" x14ac:dyDescent="0.35">
      <c r="B50" s="140" t="s">
        <v>67</v>
      </c>
      <c r="C50" s="125"/>
      <c r="D50" s="125"/>
      <c r="E50" s="17">
        <f>4200*20</f>
        <v>84000</v>
      </c>
      <c r="F50" s="13" t="s">
        <v>65</v>
      </c>
      <c r="G50" s="11"/>
    </row>
    <row r="51" spans="1:14" x14ac:dyDescent="0.35">
      <c r="B51" s="141" t="s">
        <v>42</v>
      </c>
      <c r="C51" s="124"/>
      <c r="D51" s="124"/>
      <c r="E51" s="9">
        <f>SUM(E49:E50)</f>
        <v>184000</v>
      </c>
      <c r="F51" s="21"/>
      <c r="G51" s="33"/>
    </row>
    <row r="53" spans="1:14" x14ac:dyDescent="0.35">
      <c r="A53" s="23" t="s">
        <v>30</v>
      </c>
      <c r="B53" s="27"/>
      <c r="C53" s="28" t="s">
        <v>39</v>
      </c>
      <c r="D53" s="28"/>
      <c r="E53" s="28"/>
      <c r="F53" s="28"/>
      <c r="G53" s="28"/>
      <c r="H53" s="28" t="s">
        <v>37</v>
      </c>
      <c r="I53" s="28" t="s">
        <v>38</v>
      </c>
      <c r="J53" s="36" t="s">
        <v>326</v>
      </c>
    </row>
    <row r="54" spans="1:14" x14ac:dyDescent="0.35">
      <c r="B54" s="37">
        <v>552</v>
      </c>
      <c r="C54" s="125" t="s">
        <v>71</v>
      </c>
      <c r="D54" s="125"/>
      <c r="E54" s="125"/>
      <c r="F54" s="125"/>
      <c r="G54" s="125"/>
      <c r="H54" s="41">
        <f>E51</f>
        <v>184000</v>
      </c>
      <c r="I54" s="13"/>
      <c r="J54" s="11"/>
    </row>
    <row r="55" spans="1:14" x14ac:dyDescent="0.35">
      <c r="B55" s="32" t="s">
        <v>70</v>
      </c>
      <c r="C55" s="124" t="s">
        <v>11</v>
      </c>
      <c r="D55" s="124"/>
      <c r="E55" s="124"/>
      <c r="F55" s="124"/>
      <c r="G55" s="124"/>
      <c r="H55" s="21"/>
      <c r="I55" s="9">
        <f>E51</f>
        <v>184000</v>
      </c>
      <c r="J55" s="33"/>
    </row>
    <row r="57" spans="1:14" x14ac:dyDescent="0.35">
      <c r="A57" s="23" t="s">
        <v>52</v>
      </c>
      <c r="B57" s="81">
        <v>602</v>
      </c>
      <c r="C57" s="138" t="s">
        <v>73</v>
      </c>
      <c r="D57" s="138"/>
      <c r="E57" s="138"/>
      <c r="F57" s="138"/>
      <c r="G57" s="138"/>
      <c r="H57" s="82">
        <f>4200*45</f>
        <v>189000</v>
      </c>
      <c r="I57" s="82"/>
      <c r="J57" s="10" t="s">
        <v>74</v>
      </c>
    </row>
    <row r="58" spans="1:14" x14ac:dyDescent="0.35">
      <c r="B58" s="32" t="s">
        <v>72</v>
      </c>
      <c r="C58" s="124" t="s">
        <v>13</v>
      </c>
      <c r="D58" s="124"/>
      <c r="E58" s="124"/>
      <c r="F58" s="124"/>
      <c r="G58" s="124"/>
      <c r="H58" s="17"/>
      <c r="I58" s="17">
        <f>4200*45</f>
        <v>189000</v>
      </c>
      <c r="J58" s="33"/>
    </row>
    <row r="60" spans="1:14" x14ac:dyDescent="0.35">
      <c r="A60" s="23" t="s">
        <v>324</v>
      </c>
      <c r="B60" s="71" t="s">
        <v>52</v>
      </c>
      <c r="C60" s="123" t="s">
        <v>75</v>
      </c>
      <c r="D60" s="123"/>
      <c r="E60" s="123"/>
      <c r="F60" s="123"/>
      <c r="G60" s="72" t="s">
        <v>30</v>
      </c>
      <c r="H60" s="12"/>
      <c r="I60" s="72" t="s">
        <v>52</v>
      </c>
      <c r="J60" s="123" t="s">
        <v>77</v>
      </c>
      <c r="K60" s="123"/>
      <c r="L60" s="123"/>
      <c r="M60" s="123"/>
      <c r="N60" s="73" t="s">
        <v>30</v>
      </c>
    </row>
    <row r="61" spans="1:14" x14ac:dyDescent="0.35">
      <c r="B61" s="31"/>
      <c r="C61" s="12"/>
      <c r="D61" s="15">
        <v>189200</v>
      </c>
      <c r="E61" s="13" t="s">
        <v>79</v>
      </c>
      <c r="F61" s="13"/>
      <c r="G61" s="13"/>
      <c r="H61" s="74" t="s">
        <v>56</v>
      </c>
      <c r="I61" s="13"/>
      <c r="J61" s="12"/>
      <c r="K61" s="10"/>
      <c r="L61" s="13"/>
      <c r="M61" s="13"/>
      <c r="N61" s="75">
        <f>I55</f>
        <v>184000</v>
      </c>
    </row>
    <row r="62" spans="1:14" x14ac:dyDescent="0.35">
      <c r="B62" s="31"/>
      <c r="C62" s="13"/>
      <c r="D62" s="11"/>
      <c r="E62" s="13"/>
      <c r="F62" s="13"/>
      <c r="G62" s="13"/>
      <c r="H62" s="41">
        <f>N61-D61</f>
        <v>-5200</v>
      </c>
      <c r="I62" s="13" t="s">
        <v>57</v>
      </c>
      <c r="J62" s="13"/>
      <c r="K62" s="11"/>
      <c r="L62" s="13"/>
      <c r="M62" s="13"/>
      <c r="N62" s="11"/>
    </row>
    <row r="63" spans="1:14" x14ac:dyDescent="0.35">
      <c r="B63" s="31"/>
      <c r="C63" s="13"/>
      <c r="D63" s="11"/>
      <c r="E63" s="13"/>
      <c r="F63" s="13"/>
      <c r="G63" s="13"/>
      <c r="H63" s="13"/>
      <c r="I63" s="13"/>
      <c r="J63" s="13"/>
      <c r="K63" s="11"/>
      <c r="L63" s="13"/>
      <c r="M63" s="13"/>
      <c r="N63" s="11"/>
    </row>
    <row r="64" spans="1:14" x14ac:dyDescent="0.35">
      <c r="B64" s="31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1"/>
    </row>
    <row r="65" spans="1:20" x14ac:dyDescent="0.35">
      <c r="B65" s="31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1"/>
    </row>
    <row r="66" spans="1:20" x14ac:dyDescent="0.35">
      <c r="B66" s="31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1"/>
    </row>
    <row r="67" spans="1:20" x14ac:dyDescent="0.35">
      <c r="B67" s="76" t="s">
        <v>52</v>
      </c>
      <c r="C67" s="122" t="s">
        <v>76</v>
      </c>
      <c r="D67" s="122"/>
      <c r="E67" s="122"/>
      <c r="F67" s="122"/>
      <c r="G67" s="70" t="s">
        <v>30</v>
      </c>
      <c r="H67" s="13"/>
      <c r="I67" s="70" t="s">
        <v>52</v>
      </c>
      <c r="J67" s="122" t="s">
        <v>78</v>
      </c>
      <c r="K67" s="122"/>
      <c r="L67" s="122"/>
      <c r="M67" s="122"/>
      <c r="N67" s="77" t="s">
        <v>30</v>
      </c>
    </row>
    <row r="68" spans="1:20" x14ac:dyDescent="0.35">
      <c r="B68" s="31"/>
      <c r="C68" s="12"/>
      <c r="D68" s="15">
        <f>H54</f>
        <v>184000</v>
      </c>
      <c r="E68" s="13"/>
      <c r="F68" s="13"/>
      <c r="G68" s="13"/>
      <c r="H68" s="74" t="s">
        <v>25</v>
      </c>
      <c r="I68" s="13"/>
      <c r="J68" s="12"/>
      <c r="K68" s="10"/>
      <c r="L68" s="13"/>
      <c r="M68" s="13"/>
      <c r="N68" s="75">
        <f>I58</f>
        <v>189000</v>
      </c>
    </row>
    <row r="69" spans="1:20" x14ac:dyDescent="0.35">
      <c r="B69" s="31"/>
      <c r="C69" s="13"/>
      <c r="D69" s="11"/>
      <c r="E69" s="13"/>
      <c r="F69" s="13"/>
      <c r="G69" s="13"/>
      <c r="H69" s="41">
        <f>N68-D68</f>
        <v>5000</v>
      </c>
      <c r="I69" s="13" t="s">
        <v>83</v>
      </c>
      <c r="J69" s="13"/>
      <c r="K69" s="11"/>
      <c r="L69" s="13"/>
      <c r="M69" s="13"/>
      <c r="N69" s="11"/>
    </row>
    <row r="70" spans="1:20" x14ac:dyDescent="0.35">
      <c r="B70" s="32"/>
      <c r="C70" s="21"/>
      <c r="D70" s="33"/>
      <c r="E70" s="21"/>
      <c r="F70" s="21"/>
      <c r="G70" s="21"/>
      <c r="H70" s="21"/>
      <c r="I70" s="21"/>
      <c r="J70" s="21"/>
      <c r="K70" s="33"/>
      <c r="L70" s="21"/>
      <c r="M70" s="21"/>
      <c r="N70" s="33"/>
    </row>
    <row r="72" spans="1:20" x14ac:dyDescent="0.35">
      <c r="A72" s="23" t="s">
        <v>325</v>
      </c>
      <c r="B72" s="27"/>
      <c r="C72" s="28" t="s">
        <v>39</v>
      </c>
      <c r="D72" s="28"/>
      <c r="E72" s="28"/>
      <c r="F72" s="28"/>
      <c r="G72" s="28"/>
      <c r="H72" s="28" t="s">
        <v>37</v>
      </c>
      <c r="I72" s="28" t="s">
        <v>38</v>
      </c>
      <c r="J72" s="36" t="s">
        <v>326</v>
      </c>
    </row>
    <row r="73" spans="1:20" x14ac:dyDescent="0.35">
      <c r="B73" s="37">
        <v>930</v>
      </c>
      <c r="C73" s="125" t="s">
        <v>82</v>
      </c>
      <c r="D73" s="125"/>
      <c r="E73" s="125"/>
      <c r="F73" s="125"/>
      <c r="G73" s="125"/>
      <c r="H73" s="41">
        <v>5200</v>
      </c>
      <c r="I73" s="13"/>
      <c r="J73" s="11"/>
    </row>
    <row r="74" spans="1:20" x14ac:dyDescent="0.35">
      <c r="B74" s="31" t="s">
        <v>80</v>
      </c>
      <c r="C74" s="125" t="s">
        <v>3</v>
      </c>
      <c r="D74" s="125"/>
      <c r="E74" s="125"/>
      <c r="F74" s="125"/>
      <c r="G74" s="125"/>
      <c r="H74" s="13"/>
      <c r="I74" s="41">
        <f>H73-I75</f>
        <v>200</v>
      </c>
      <c r="J74" s="11"/>
    </row>
    <row r="75" spans="1:20" x14ac:dyDescent="0.35">
      <c r="B75" s="32" t="s">
        <v>81</v>
      </c>
      <c r="C75" s="124" t="s">
        <v>27</v>
      </c>
      <c r="D75" s="124"/>
      <c r="E75" s="124"/>
      <c r="F75" s="124"/>
      <c r="G75" s="124"/>
      <c r="H75" s="21"/>
      <c r="I75" s="9">
        <f>H69</f>
        <v>5000</v>
      </c>
      <c r="J75" s="33"/>
    </row>
    <row r="77" spans="1:20" x14ac:dyDescent="0.35">
      <c r="A77" s="16"/>
      <c r="B77" s="16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</row>
    <row r="78" spans="1:20" x14ac:dyDescent="0.35">
      <c r="A78" s="23" t="s">
        <v>84</v>
      </c>
    </row>
    <row r="79" spans="1:20" x14ac:dyDescent="0.35">
      <c r="A79" s="23" t="s">
        <v>321</v>
      </c>
      <c r="B79" s="83" t="s">
        <v>30</v>
      </c>
      <c r="C79" s="84">
        <v>40000</v>
      </c>
      <c r="D79" s="126" t="s">
        <v>29</v>
      </c>
      <c r="E79" s="128">
        <f>C79/C80</f>
        <v>20</v>
      </c>
    </row>
    <row r="80" spans="1:20" x14ac:dyDescent="0.35">
      <c r="B80" s="85" t="s">
        <v>31</v>
      </c>
      <c r="C80" s="60">
        <v>2000</v>
      </c>
      <c r="D80" s="127"/>
      <c r="E80" s="129"/>
    </row>
    <row r="81" spans="1:14" x14ac:dyDescent="0.35">
      <c r="B81" s="31"/>
      <c r="C81" s="13"/>
      <c r="D81" s="13"/>
      <c r="E81" s="11"/>
    </row>
    <row r="82" spans="1:14" x14ac:dyDescent="0.35">
      <c r="B82" s="31" t="s">
        <v>85</v>
      </c>
      <c r="C82" s="13"/>
      <c r="D82" s="30">
        <f>2000*20</f>
        <v>40000</v>
      </c>
      <c r="E82" s="11" t="s">
        <v>88</v>
      </c>
    </row>
    <row r="83" spans="1:14" x14ac:dyDescent="0.35">
      <c r="B83" s="31" t="s">
        <v>86</v>
      </c>
      <c r="C83" s="13"/>
      <c r="D83" s="17">
        <f>2100*30</f>
        <v>63000</v>
      </c>
      <c r="E83" s="11" t="s">
        <v>89</v>
      </c>
    </row>
    <row r="84" spans="1:14" x14ac:dyDescent="0.35">
      <c r="B84" s="32" t="s">
        <v>87</v>
      </c>
      <c r="C84" s="21"/>
      <c r="D84" s="17">
        <f>SUM(D82:D83)</f>
        <v>103000</v>
      </c>
      <c r="E84" s="33"/>
    </row>
    <row r="86" spans="1:14" x14ac:dyDescent="0.35">
      <c r="A86" s="23" t="s">
        <v>323</v>
      </c>
      <c r="B86" s="27"/>
      <c r="C86" s="28" t="s">
        <v>39</v>
      </c>
      <c r="D86" s="28"/>
      <c r="E86" s="28"/>
      <c r="F86" s="28"/>
      <c r="G86" s="28"/>
      <c r="H86" s="28" t="s">
        <v>37</v>
      </c>
      <c r="I86" s="28" t="s">
        <v>38</v>
      </c>
      <c r="J86" s="36" t="s">
        <v>326</v>
      </c>
    </row>
    <row r="87" spans="1:14" x14ac:dyDescent="0.35">
      <c r="B87" s="37">
        <v>532</v>
      </c>
      <c r="C87" s="125" t="s">
        <v>12</v>
      </c>
      <c r="D87" s="125"/>
      <c r="E87" s="125"/>
      <c r="F87" s="125"/>
      <c r="G87" s="125"/>
      <c r="H87" s="41">
        <f>D84</f>
        <v>103000</v>
      </c>
      <c r="I87" s="13"/>
      <c r="J87" s="11"/>
    </row>
    <row r="88" spans="1:14" x14ac:dyDescent="0.35">
      <c r="B88" s="32" t="s">
        <v>90</v>
      </c>
      <c r="C88" s="124" t="s">
        <v>91</v>
      </c>
      <c r="D88" s="124"/>
      <c r="E88" s="124"/>
      <c r="F88" s="124"/>
      <c r="G88" s="124"/>
      <c r="H88" s="21"/>
      <c r="I88" s="9">
        <f>D84</f>
        <v>103000</v>
      </c>
      <c r="J88" s="33"/>
    </row>
    <row r="90" spans="1:14" x14ac:dyDescent="0.35">
      <c r="A90" s="23" t="s">
        <v>30</v>
      </c>
      <c r="B90" s="25"/>
      <c r="C90" s="25" t="s">
        <v>39</v>
      </c>
      <c r="D90" s="25"/>
      <c r="E90" s="25"/>
      <c r="F90" s="25"/>
      <c r="G90" s="25"/>
      <c r="H90" s="25" t="s">
        <v>37</v>
      </c>
      <c r="I90" s="25" t="s">
        <v>38</v>
      </c>
      <c r="J90" s="36" t="s">
        <v>326</v>
      </c>
    </row>
    <row r="91" spans="1:14" x14ac:dyDescent="0.35">
      <c r="B91" s="8">
        <v>602</v>
      </c>
      <c r="C91" s="142" t="s">
        <v>73</v>
      </c>
      <c r="D91" s="142"/>
      <c r="E91" s="142"/>
      <c r="F91" s="142"/>
      <c r="G91" s="142"/>
      <c r="H91" s="7">
        <f>2100*50</f>
        <v>105000</v>
      </c>
      <c r="I91" s="7"/>
    </row>
    <row r="92" spans="1:14" x14ac:dyDescent="0.35">
      <c r="B92" t="s">
        <v>92</v>
      </c>
      <c r="C92" s="142" t="s">
        <v>93</v>
      </c>
      <c r="D92" s="142"/>
      <c r="E92" s="142"/>
      <c r="F92" s="142"/>
      <c r="G92" s="142"/>
      <c r="H92" s="7"/>
      <c r="I92" s="7">
        <f>2100*50</f>
        <v>105000</v>
      </c>
    </row>
    <row r="94" spans="1:14" x14ac:dyDescent="0.35">
      <c r="A94" s="23" t="s">
        <v>52</v>
      </c>
      <c r="B94" s="71" t="s">
        <v>52</v>
      </c>
      <c r="C94" s="123" t="s">
        <v>94</v>
      </c>
      <c r="D94" s="123"/>
      <c r="E94" s="123"/>
      <c r="F94" s="123"/>
      <c r="G94" s="72" t="s">
        <v>30</v>
      </c>
      <c r="H94" s="12"/>
      <c r="I94" s="72" t="s">
        <v>52</v>
      </c>
      <c r="J94" s="123" t="s">
        <v>95</v>
      </c>
      <c r="K94" s="123"/>
      <c r="L94" s="123"/>
      <c r="M94" s="123"/>
      <c r="N94" s="73" t="s">
        <v>30</v>
      </c>
    </row>
    <row r="95" spans="1:14" x14ac:dyDescent="0.35">
      <c r="B95" s="31"/>
      <c r="C95" s="12"/>
      <c r="D95" s="15">
        <v>105600</v>
      </c>
      <c r="E95" s="13"/>
      <c r="F95" s="13"/>
      <c r="G95" s="13"/>
      <c r="H95" s="74" t="s">
        <v>56</v>
      </c>
      <c r="I95" s="13"/>
      <c r="J95" s="12"/>
      <c r="K95" s="10"/>
      <c r="L95" s="13"/>
      <c r="M95" s="13"/>
      <c r="N95" s="75">
        <f>H87</f>
        <v>103000</v>
      </c>
    </row>
    <row r="96" spans="1:14" x14ac:dyDescent="0.35">
      <c r="B96" s="31"/>
      <c r="C96" s="13"/>
      <c r="D96" s="11"/>
      <c r="E96" s="13"/>
      <c r="F96" s="13"/>
      <c r="G96" s="13"/>
      <c r="H96" s="41">
        <f>N95-D95</f>
        <v>-2600</v>
      </c>
      <c r="I96" s="13" t="s">
        <v>57</v>
      </c>
      <c r="J96" s="13"/>
      <c r="K96" s="11"/>
      <c r="L96" s="13"/>
      <c r="M96" s="13"/>
      <c r="N96" s="11"/>
    </row>
    <row r="97" spans="1:17" x14ac:dyDescent="0.35">
      <c r="B97" s="31"/>
      <c r="C97" s="13"/>
      <c r="D97" s="11"/>
      <c r="E97" s="13"/>
      <c r="F97" s="13"/>
      <c r="G97" s="13"/>
      <c r="H97" s="13"/>
      <c r="I97" s="13"/>
      <c r="J97" s="13"/>
      <c r="K97" s="11"/>
      <c r="L97" s="13"/>
      <c r="M97" s="13"/>
      <c r="N97" s="11"/>
    </row>
    <row r="98" spans="1:17" x14ac:dyDescent="0.35">
      <c r="B98" s="31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1"/>
    </row>
    <row r="99" spans="1:17" x14ac:dyDescent="0.35">
      <c r="B99" s="31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1"/>
    </row>
    <row r="100" spans="1:17" x14ac:dyDescent="0.35">
      <c r="B100" s="31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11"/>
    </row>
    <row r="101" spans="1:17" x14ac:dyDescent="0.35">
      <c r="B101" s="76" t="s">
        <v>52</v>
      </c>
      <c r="C101" s="122" t="s">
        <v>96</v>
      </c>
      <c r="D101" s="122"/>
      <c r="E101" s="122"/>
      <c r="F101" s="122"/>
      <c r="G101" s="70" t="s">
        <v>30</v>
      </c>
      <c r="H101" s="13"/>
      <c r="I101" s="70" t="s">
        <v>52</v>
      </c>
      <c r="J101" s="122" t="s">
        <v>97</v>
      </c>
      <c r="K101" s="122"/>
      <c r="L101" s="122"/>
      <c r="M101" s="122"/>
      <c r="N101" s="77" t="s">
        <v>30</v>
      </c>
    </row>
    <row r="102" spans="1:17" x14ac:dyDescent="0.35">
      <c r="B102" s="31"/>
      <c r="C102" s="12"/>
      <c r="D102" s="15">
        <f>H87</f>
        <v>103000</v>
      </c>
      <c r="E102" s="13"/>
      <c r="F102" s="13"/>
      <c r="G102" s="13"/>
      <c r="H102" s="74" t="s">
        <v>25</v>
      </c>
      <c r="I102" s="13"/>
      <c r="J102" s="12"/>
      <c r="K102" s="10"/>
      <c r="L102" s="13"/>
      <c r="M102" s="13"/>
      <c r="N102" s="75">
        <f>I92</f>
        <v>105000</v>
      </c>
    </row>
    <row r="103" spans="1:17" x14ac:dyDescent="0.35">
      <c r="B103" s="32"/>
      <c r="C103" s="21"/>
      <c r="D103" s="33"/>
      <c r="E103" s="21"/>
      <c r="F103" s="21"/>
      <c r="G103" s="21"/>
      <c r="H103" s="9">
        <f>N102-D102</f>
        <v>2000</v>
      </c>
      <c r="I103" s="21" t="s">
        <v>83</v>
      </c>
      <c r="J103" s="21"/>
      <c r="K103" s="33"/>
      <c r="L103" s="21"/>
      <c r="M103" s="21"/>
      <c r="N103" s="33"/>
    </row>
    <row r="105" spans="1:17" x14ac:dyDescent="0.35">
      <c r="A105" s="23" t="s">
        <v>324</v>
      </c>
      <c r="B105" s="65" t="s">
        <v>58</v>
      </c>
      <c r="C105" s="78">
        <v>2000</v>
      </c>
      <c r="D105" s="12"/>
      <c r="E105" s="12" t="s">
        <v>60</v>
      </c>
      <c r="F105" s="12"/>
      <c r="G105" s="10"/>
    </row>
    <row r="106" spans="1:17" x14ac:dyDescent="0.35">
      <c r="B106" s="32" t="s">
        <v>59</v>
      </c>
      <c r="C106" s="79">
        <v>2100</v>
      </c>
      <c r="D106" s="21"/>
      <c r="E106" s="9">
        <f>(C106-C105)*E79</f>
        <v>2000</v>
      </c>
      <c r="F106" s="21" t="s">
        <v>83</v>
      </c>
      <c r="G106" s="33"/>
    </row>
    <row r="108" spans="1:17" x14ac:dyDescent="0.35">
      <c r="A108" s="16"/>
      <c r="B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</row>
    <row r="109" spans="1:17" x14ac:dyDescent="0.35">
      <c r="A109" s="23" t="s">
        <v>98</v>
      </c>
    </row>
    <row r="110" spans="1:17" x14ac:dyDescent="0.35">
      <c r="A110" s="23" t="s">
        <v>321</v>
      </c>
      <c r="B110" s="27"/>
      <c r="C110" s="28" t="s">
        <v>39</v>
      </c>
      <c r="D110" s="28"/>
      <c r="E110" s="28"/>
      <c r="F110" s="28"/>
      <c r="G110" s="28"/>
      <c r="H110" s="28" t="s">
        <v>37</v>
      </c>
      <c r="I110" s="28" t="s">
        <v>38</v>
      </c>
      <c r="J110" s="36" t="s">
        <v>326</v>
      </c>
      <c r="K110" s="12"/>
      <c r="L110" s="10"/>
    </row>
    <row r="111" spans="1:17" x14ac:dyDescent="0.35">
      <c r="B111" s="37">
        <v>540</v>
      </c>
      <c r="C111" s="125" t="s">
        <v>101</v>
      </c>
      <c r="D111" s="125"/>
      <c r="E111" s="125"/>
      <c r="F111" s="125"/>
      <c r="G111" s="125"/>
      <c r="H111" s="30">
        <v>32200</v>
      </c>
      <c r="I111" s="30"/>
      <c r="J111" s="13" t="s">
        <v>103</v>
      </c>
      <c r="K111" s="13"/>
      <c r="L111" s="11"/>
    </row>
    <row r="112" spans="1:17" x14ac:dyDescent="0.35">
      <c r="B112" s="31" t="s">
        <v>45</v>
      </c>
      <c r="C112" s="125" t="s">
        <v>7</v>
      </c>
      <c r="D112" s="125"/>
      <c r="E112" s="125"/>
      <c r="F112" s="125"/>
      <c r="G112" s="125"/>
      <c r="H112" s="30"/>
      <c r="I112" s="30">
        <v>3600</v>
      </c>
      <c r="J112" s="13" t="s">
        <v>104</v>
      </c>
      <c r="K112" s="13"/>
      <c r="L112" s="11"/>
    </row>
    <row r="113" spans="1:14" x14ac:dyDescent="0.35">
      <c r="B113" s="31" t="s">
        <v>99</v>
      </c>
      <c r="C113" s="125" t="s">
        <v>102</v>
      </c>
      <c r="D113" s="125"/>
      <c r="E113" s="125"/>
      <c r="F113" s="125"/>
      <c r="G113" s="125"/>
      <c r="H113" s="30"/>
      <c r="I113" s="30">
        <v>3000</v>
      </c>
      <c r="J113" s="13" t="s">
        <v>105</v>
      </c>
      <c r="K113" s="13"/>
      <c r="L113" s="11"/>
    </row>
    <row r="114" spans="1:14" x14ac:dyDescent="0.35">
      <c r="B114" s="32" t="s">
        <v>100</v>
      </c>
      <c r="C114" s="124" t="s">
        <v>3</v>
      </c>
      <c r="D114" s="124"/>
      <c r="E114" s="124"/>
      <c r="F114" s="124"/>
      <c r="G114" s="124"/>
      <c r="H114" s="17"/>
      <c r="I114" s="17">
        <v>25600</v>
      </c>
      <c r="J114" s="21" t="s">
        <v>106</v>
      </c>
      <c r="K114" s="21"/>
      <c r="L114" s="33"/>
    </row>
    <row r="116" spans="1:14" x14ac:dyDescent="0.35">
      <c r="A116" s="23" t="s">
        <v>323</v>
      </c>
      <c r="B116" s="27"/>
      <c r="C116" s="28" t="s">
        <v>39</v>
      </c>
      <c r="D116" s="28"/>
      <c r="E116" s="28"/>
      <c r="F116" s="28"/>
      <c r="G116" s="28"/>
      <c r="H116" s="28" t="s">
        <v>37</v>
      </c>
      <c r="I116" s="28" t="s">
        <v>38</v>
      </c>
      <c r="J116" s="36" t="s">
        <v>326</v>
      </c>
      <c r="K116" s="12"/>
      <c r="L116" s="10"/>
    </row>
    <row r="117" spans="1:14" x14ac:dyDescent="0.35">
      <c r="B117" s="37">
        <v>560</v>
      </c>
      <c r="C117" s="125" t="s">
        <v>14</v>
      </c>
      <c r="D117" s="125"/>
      <c r="E117" s="125"/>
      <c r="F117" s="125"/>
      <c r="G117" s="125"/>
      <c r="H117" s="30">
        <f>0.04*780000</f>
        <v>31200</v>
      </c>
      <c r="I117" s="30"/>
      <c r="J117" s="13" t="s">
        <v>109</v>
      </c>
      <c r="K117" s="13"/>
      <c r="L117" s="11"/>
    </row>
    <row r="118" spans="1:14" x14ac:dyDescent="0.35">
      <c r="B118" s="32" t="s">
        <v>107</v>
      </c>
      <c r="C118" s="124" t="s">
        <v>108</v>
      </c>
      <c r="D118" s="124"/>
      <c r="E118" s="124"/>
      <c r="F118" s="124"/>
      <c r="G118" s="124"/>
      <c r="H118" s="17"/>
      <c r="I118" s="17">
        <f>0.04*780000</f>
        <v>31200</v>
      </c>
      <c r="J118" s="21"/>
      <c r="K118" s="21"/>
      <c r="L118" s="33"/>
    </row>
    <row r="120" spans="1:14" x14ac:dyDescent="0.35">
      <c r="A120" s="23" t="s">
        <v>30</v>
      </c>
      <c r="B120" s="27"/>
      <c r="C120" s="28" t="s">
        <v>39</v>
      </c>
      <c r="D120" s="28"/>
      <c r="E120" s="28"/>
      <c r="F120" s="28"/>
      <c r="G120" s="28"/>
      <c r="H120" s="28" t="s">
        <v>37</v>
      </c>
      <c r="I120" s="28" t="s">
        <v>38</v>
      </c>
      <c r="J120" s="36" t="s">
        <v>326</v>
      </c>
      <c r="K120" s="12"/>
      <c r="L120" s="10"/>
    </row>
    <row r="121" spans="1:14" x14ac:dyDescent="0.35">
      <c r="B121" s="37">
        <v>542</v>
      </c>
      <c r="C121" s="125" t="s">
        <v>111</v>
      </c>
      <c r="D121" s="125"/>
      <c r="E121" s="125"/>
      <c r="F121" s="125"/>
      <c r="G121" s="125"/>
      <c r="H121" s="30">
        <v>30000</v>
      </c>
      <c r="I121" s="30"/>
      <c r="J121" s="13" t="s">
        <v>113</v>
      </c>
      <c r="K121" s="13"/>
      <c r="L121" s="11"/>
    </row>
    <row r="122" spans="1:14" x14ac:dyDescent="0.35">
      <c r="B122" s="32" t="s">
        <v>110</v>
      </c>
      <c r="C122" s="124" t="s">
        <v>112</v>
      </c>
      <c r="D122" s="124"/>
      <c r="E122" s="124"/>
      <c r="F122" s="124"/>
      <c r="G122" s="124"/>
      <c r="H122" s="17"/>
      <c r="I122" s="17">
        <v>30000</v>
      </c>
      <c r="J122" s="21"/>
      <c r="K122" s="21"/>
      <c r="L122" s="33"/>
    </row>
    <row r="124" spans="1:14" x14ac:dyDescent="0.35">
      <c r="A124" s="23" t="s">
        <v>52</v>
      </c>
      <c r="B124" s="71" t="s">
        <v>52</v>
      </c>
      <c r="C124" s="123" t="s">
        <v>114</v>
      </c>
      <c r="D124" s="123"/>
      <c r="E124" s="123"/>
      <c r="F124" s="123"/>
      <c r="G124" s="72" t="s">
        <v>30</v>
      </c>
      <c r="H124" s="12"/>
      <c r="I124" s="72" t="s">
        <v>52</v>
      </c>
      <c r="J124" s="123" t="s">
        <v>115</v>
      </c>
      <c r="K124" s="123"/>
      <c r="L124" s="123"/>
      <c r="M124" s="123"/>
      <c r="N124" s="73" t="s">
        <v>30</v>
      </c>
    </row>
    <row r="125" spans="1:14" x14ac:dyDescent="0.35">
      <c r="B125" s="31"/>
      <c r="C125" s="12"/>
      <c r="D125" s="15">
        <f>H111</f>
        <v>32200</v>
      </c>
      <c r="E125" s="13"/>
      <c r="F125" s="13"/>
      <c r="G125" s="13"/>
      <c r="H125" s="74" t="s">
        <v>56</v>
      </c>
      <c r="I125" s="13"/>
      <c r="J125" s="12"/>
      <c r="K125" s="10"/>
      <c r="L125" s="13"/>
      <c r="M125" s="13"/>
      <c r="N125" s="75">
        <f>I122</f>
        <v>30000</v>
      </c>
    </row>
    <row r="126" spans="1:14" x14ac:dyDescent="0.35">
      <c r="B126" s="31"/>
      <c r="C126" s="13"/>
      <c r="D126" s="11"/>
      <c r="E126" s="13"/>
      <c r="F126" s="13"/>
      <c r="G126" s="13"/>
      <c r="H126" s="41">
        <f>N125-D125</f>
        <v>-2200</v>
      </c>
      <c r="I126" s="13" t="s">
        <v>57</v>
      </c>
      <c r="J126" s="13"/>
      <c r="K126" s="11"/>
      <c r="L126" s="13"/>
      <c r="M126" s="13"/>
      <c r="N126" s="11"/>
    </row>
    <row r="127" spans="1:14" x14ac:dyDescent="0.35">
      <c r="B127" s="31"/>
      <c r="C127" s="13"/>
      <c r="D127" s="11"/>
      <c r="E127" s="13"/>
      <c r="F127" s="13"/>
      <c r="G127" s="13"/>
      <c r="H127" s="13"/>
      <c r="I127" s="13"/>
      <c r="J127" s="13"/>
      <c r="K127" s="11"/>
      <c r="L127" s="13"/>
      <c r="M127" s="13"/>
      <c r="N127" s="11"/>
    </row>
    <row r="128" spans="1:14" x14ac:dyDescent="0.35">
      <c r="B128" s="31"/>
      <c r="C128" s="13"/>
      <c r="D128" s="13"/>
      <c r="E128" s="13"/>
      <c r="F128" s="13"/>
      <c r="G128" s="13"/>
      <c r="H128" s="13"/>
      <c r="I128" s="13"/>
      <c r="J128" s="13"/>
      <c r="K128" s="13"/>
      <c r="L128" s="13"/>
      <c r="M128" s="13"/>
      <c r="N128" s="11"/>
    </row>
    <row r="129" spans="2:14" x14ac:dyDescent="0.35">
      <c r="B129" s="31"/>
      <c r="C129" s="13"/>
      <c r="D129" s="13"/>
      <c r="E129" s="13"/>
      <c r="F129" s="13"/>
      <c r="G129" s="13"/>
      <c r="H129" s="13"/>
      <c r="I129" s="13"/>
      <c r="J129" s="13"/>
      <c r="K129" s="13"/>
      <c r="L129" s="13"/>
      <c r="M129" s="13"/>
      <c r="N129" s="11"/>
    </row>
    <row r="130" spans="2:14" x14ac:dyDescent="0.35">
      <c r="B130" s="31"/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3"/>
      <c r="N130" s="11"/>
    </row>
    <row r="131" spans="2:14" x14ac:dyDescent="0.35">
      <c r="B131" s="76" t="s">
        <v>52</v>
      </c>
      <c r="C131" s="122" t="s">
        <v>116</v>
      </c>
      <c r="D131" s="122"/>
      <c r="E131" s="122"/>
      <c r="F131" s="122"/>
      <c r="G131" s="70" t="s">
        <v>30</v>
      </c>
      <c r="H131" s="13"/>
      <c r="I131" s="70" t="s">
        <v>52</v>
      </c>
      <c r="J131" s="122" t="s">
        <v>117</v>
      </c>
      <c r="K131" s="122"/>
      <c r="L131" s="122"/>
      <c r="M131" s="122"/>
      <c r="N131" s="77" t="s">
        <v>30</v>
      </c>
    </row>
    <row r="132" spans="2:14" x14ac:dyDescent="0.35">
      <c r="B132" s="31"/>
      <c r="C132" s="12"/>
      <c r="D132" s="15">
        <f>H121</f>
        <v>30000</v>
      </c>
      <c r="E132" s="13"/>
      <c r="F132" s="13"/>
      <c r="G132" s="13"/>
      <c r="H132" s="74" t="s">
        <v>25</v>
      </c>
      <c r="I132" s="13"/>
      <c r="J132" s="12"/>
      <c r="K132" s="10"/>
      <c r="L132" s="13"/>
      <c r="M132" s="13"/>
      <c r="N132" s="75">
        <f>I118</f>
        <v>31200</v>
      </c>
    </row>
    <row r="133" spans="2:14" x14ac:dyDescent="0.35">
      <c r="B133" s="32"/>
      <c r="C133" s="21"/>
      <c r="D133" s="33"/>
      <c r="E133" s="21"/>
      <c r="F133" s="21"/>
      <c r="G133" s="21"/>
      <c r="H133" s="9">
        <f>N132-D132</f>
        <v>1200</v>
      </c>
      <c r="I133" s="21" t="s">
        <v>83</v>
      </c>
      <c r="J133" s="21"/>
      <c r="K133" s="33"/>
      <c r="L133" s="21"/>
      <c r="M133" s="21"/>
      <c r="N133" s="33"/>
    </row>
  </sheetData>
  <mergeCells count="60">
    <mergeCell ref="C87:G87"/>
    <mergeCell ref="C88:G88"/>
    <mergeCell ref="C111:G111"/>
    <mergeCell ref="C112:G112"/>
    <mergeCell ref="C113:G113"/>
    <mergeCell ref="C92:G92"/>
    <mergeCell ref="C91:G91"/>
    <mergeCell ref="C57:G57"/>
    <mergeCell ref="C58:G58"/>
    <mergeCell ref="C73:G73"/>
    <mergeCell ref="C74:G74"/>
    <mergeCell ref="B49:D49"/>
    <mergeCell ref="B50:D50"/>
    <mergeCell ref="B51:D51"/>
    <mergeCell ref="C54:G54"/>
    <mergeCell ref="C55:G55"/>
    <mergeCell ref="C60:F60"/>
    <mergeCell ref="K2:K3"/>
    <mergeCell ref="K4:K5"/>
    <mergeCell ref="L2:L3"/>
    <mergeCell ref="C28:F28"/>
    <mergeCell ref="J28:M28"/>
    <mergeCell ref="D2:D3"/>
    <mergeCell ref="E2:E3"/>
    <mergeCell ref="F2:F3"/>
    <mergeCell ref="I2:I3"/>
    <mergeCell ref="J2:J3"/>
    <mergeCell ref="C22:G22"/>
    <mergeCell ref="C23:G23"/>
    <mergeCell ref="C24:G24"/>
    <mergeCell ref="C25:G25"/>
    <mergeCell ref="C26:G26"/>
    <mergeCell ref="C35:F35"/>
    <mergeCell ref="J35:M35"/>
    <mergeCell ref="D46:D47"/>
    <mergeCell ref="E46:E47"/>
    <mergeCell ref="I46:I47"/>
    <mergeCell ref="J46:J47"/>
    <mergeCell ref="F46:F47"/>
    <mergeCell ref="L46:L47"/>
    <mergeCell ref="M46:M47"/>
    <mergeCell ref="J60:M60"/>
    <mergeCell ref="C67:F67"/>
    <mergeCell ref="J67:M67"/>
    <mergeCell ref="D79:D80"/>
    <mergeCell ref="E79:E80"/>
    <mergeCell ref="C75:G75"/>
    <mergeCell ref="C131:F131"/>
    <mergeCell ref="J131:M131"/>
    <mergeCell ref="C94:F94"/>
    <mergeCell ref="J94:M94"/>
    <mergeCell ref="C101:F101"/>
    <mergeCell ref="J101:M101"/>
    <mergeCell ref="C124:F124"/>
    <mergeCell ref="J124:M124"/>
    <mergeCell ref="C114:G114"/>
    <mergeCell ref="C117:G117"/>
    <mergeCell ref="C118:G118"/>
    <mergeCell ref="C121:G121"/>
    <mergeCell ref="C122:G122"/>
  </mergeCells>
  <pageMargins left="0.7" right="0.7" top="0.75" bottom="0.75" header="0.3" footer="0.3"/>
  <pageSetup paperSize="9"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18BBB8-F36E-4921-A877-B8F603C1278C}">
  <dimension ref="A1:R328"/>
  <sheetViews>
    <sheetView topLeftCell="A40" zoomScale="80" zoomScaleNormal="80" workbookViewId="0">
      <selection activeCell="Q58" sqref="Q58:Q60"/>
    </sheetView>
  </sheetViews>
  <sheetFormatPr defaultRowHeight="14.5" x14ac:dyDescent="0.35"/>
  <cols>
    <col min="1" max="1" width="9.1796875" customWidth="1"/>
    <col min="2" max="2" width="11.1796875" bestFit="1" customWidth="1"/>
    <col min="3" max="3" width="16.453125" customWidth="1"/>
    <col min="4" max="4" width="11.1796875" bestFit="1" customWidth="1"/>
    <col min="5" max="5" width="10.81640625" customWidth="1"/>
    <col min="6" max="6" width="10.1796875" bestFit="1" customWidth="1"/>
    <col min="8" max="9" width="14.26953125" bestFit="1" customWidth="1"/>
    <col min="10" max="10" width="10.81640625" customWidth="1"/>
    <col min="11" max="11" width="11.453125" customWidth="1"/>
    <col min="14" max="14" width="10.453125" customWidth="1"/>
  </cols>
  <sheetData>
    <row r="1" spans="1:13" x14ac:dyDescent="0.35">
      <c r="A1" s="23" t="s">
        <v>28</v>
      </c>
    </row>
    <row r="2" spans="1:13" x14ac:dyDescent="0.35">
      <c r="A2" s="23" t="s">
        <v>321</v>
      </c>
      <c r="B2" s="160" t="s">
        <v>119</v>
      </c>
      <c r="C2" s="161"/>
      <c r="D2" s="12"/>
      <c r="E2" s="12"/>
      <c r="F2" s="12"/>
      <c r="G2" s="12"/>
      <c r="H2" s="12"/>
      <c r="I2" s="12"/>
      <c r="J2" s="12"/>
      <c r="K2" s="12"/>
      <c r="L2" s="12"/>
      <c r="M2" s="10"/>
    </row>
    <row r="3" spans="1:13" x14ac:dyDescent="0.35">
      <c r="A3" s="1"/>
      <c r="B3" s="50" t="s">
        <v>30</v>
      </c>
      <c r="C3" s="17">
        <v>171000</v>
      </c>
      <c r="D3" s="127" t="s">
        <v>29</v>
      </c>
      <c r="E3" s="131">
        <f>C3/C4</f>
        <v>95</v>
      </c>
      <c r="F3" s="127" t="s">
        <v>33</v>
      </c>
      <c r="G3" s="5" t="s">
        <v>34</v>
      </c>
      <c r="H3" s="13"/>
      <c r="I3" s="127" t="s">
        <v>29</v>
      </c>
      <c r="J3" s="132">
        <v>15</v>
      </c>
      <c r="K3" s="13"/>
      <c r="L3" s="127" t="s">
        <v>29</v>
      </c>
      <c r="M3" s="143">
        <f>E3+J3</f>
        <v>110</v>
      </c>
    </row>
    <row r="4" spans="1:13" x14ac:dyDescent="0.35">
      <c r="B4" s="85" t="s">
        <v>31</v>
      </c>
      <c r="C4" s="60">
        <v>1800</v>
      </c>
      <c r="D4" s="127"/>
      <c r="E4" s="131"/>
      <c r="F4" s="127"/>
      <c r="G4" s="61" t="s">
        <v>35</v>
      </c>
      <c r="H4" s="13"/>
      <c r="I4" s="127"/>
      <c r="J4" s="132"/>
      <c r="K4" s="13"/>
      <c r="L4" s="127"/>
      <c r="M4" s="144"/>
    </row>
    <row r="5" spans="1:13" x14ac:dyDescent="0.35">
      <c r="B5" s="31"/>
      <c r="C5" s="13"/>
      <c r="D5" s="13"/>
      <c r="E5" s="13"/>
      <c r="F5" s="13"/>
      <c r="G5" s="13"/>
      <c r="H5" s="13"/>
      <c r="I5" s="13"/>
      <c r="J5" s="13"/>
      <c r="K5" s="13"/>
      <c r="L5" s="13"/>
      <c r="M5" s="11"/>
    </row>
    <row r="6" spans="1:13" x14ac:dyDescent="0.35">
      <c r="B6" s="31"/>
      <c r="C6" s="13"/>
      <c r="D6" s="13"/>
      <c r="E6" s="13"/>
      <c r="F6" s="13"/>
      <c r="G6" s="13"/>
      <c r="H6" s="13"/>
      <c r="I6" s="13"/>
      <c r="J6" s="13"/>
      <c r="K6" s="13"/>
      <c r="L6" s="13"/>
      <c r="M6" s="11"/>
    </row>
    <row r="7" spans="1:13" x14ac:dyDescent="0.35">
      <c r="B7" s="31" t="s">
        <v>66</v>
      </c>
      <c r="C7" s="13"/>
      <c r="D7" s="30">
        <f>450*95</f>
        <v>42750</v>
      </c>
      <c r="E7" s="13" t="s">
        <v>124</v>
      </c>
      <c r="F7" s="13"/>
      <c r="G7" s="13"/>
      <c r="H7" s="13"/>
      <c r="I7" s="13"/>
      <c r="J7" s="13"/>
      <c r="K7" s="13"/>
      <c r="L7" s="13"/>
      <c r="M7" s="11"/>
    </row>
    <row r="8" spans="1:13" x14ac:dyDescent="0.35">
      <c r="B8" s="31" t="s">
        <v>121</v>
      </c>
      <c r="C8" s="13"/>
      <c r="D8" s="17">
        <f>300*15</f>
        <v>4500</v>
      </c>
      <c r="E8" s="13" t="s">
        <v>125</v>
      </c>
      <c r="F8" s="13"/>
      <c r="G8" s="13"/>
      <c r="H8" s="13"/>
      <c r="I8" s="13"/>
      <c r="J8" s="13"/>
      <c r="K8" s="13"/>
      <c r="L8" s="13"/>
      <c r="M8" s="11"/>
    </row>
    <row r="9" spans="1:13" x14ac:dyDescent="0.35">
      <c r="B9" s="31" t="s">
        <v>122</v>
      </c>
      <c r="C9" s="13"/>
      <c r="D9" s="30">
        <f>SUM(D7:D8)</f>
        <v>47250</v>
      </c>
      <c r="E9" s="13"/>
      <c r="F9" s="13"/>
      <c r="G9" s="13"/>
      <c r="H9" s="13"/>
      <c r="I9" s="13"/>
      <c r="J9" s="13"/>
      <c r="K9" s="13"/>
      <c r="L9" s="13"/>
      <c r="M9" s="11"/>
    </row>
    <row r="10" spans="1:13" x14ac:dyDescent="0.35">
      <c r="B10" s="31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1"/>
    </row>
    <row r="11" spans="1:13" x14ac:dyDescent="0.35">
      <c r="B11" s="156" t="s">
        <v>120</v>
      </c>
      <c r="C11" s="157"/>
      <c r="D11" s="13"/>
      <c r="E11" s="13"/>
      <c r="F11" s="13"/>
      <c r="G11" s="13"/>
      <c r="H11" s="13"/>
      <c r="I11" s="13"/>
      <c r="J11" s="13"/>
      <c r="K11" s="13"/>
      <c r="L11" s="13"/>
      <c r="M11" s="11"/>
    </row>
    <row r="12" spans="1:13" x14ac:dyDescent="0.35">
      <c r="B12" s="86">
        <f>300*M3</f>
        <v>33000</v>
      </c>
      <c r="C12" s="13" t="s">
        <v>123</v>
      </c>
      <c r="D12" s="13"/>
      <c r="E12" s="13"/>
      <c r="F12" s="13"/>
      <c r="G12" s="13"/>
      <c r="H12" s="13"/>
      <c r="I12" s="13"/>
      <c r="J12" s="13"/>
      <c r="K12" s="13"/>
      <c r="L12" s="13"/>
      <c r="M12" s="11"/>
    </row>
    <row r="13" spans="1:13" x14ac:dyDescent="0.35">
      <c r="B13" s="31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1"/>
    </row>
    <row r="14" spans="1:13" x14ac:dyDescent="0.35">
      <c r="B14" s="156" t="s">
        <v>126</v>
      </c>
      <c r="C14" s="157"/>
      <c r="D14" s="13"/>
      <c r="E14" s="13"/>
      <c r="F14" s="13"/>
      <c r="G14" s="13"/>
      <c r="H14" s="13"/>
      <c r="I14" s="13"/>
      <c r="J14" s="13"/>
      <c r="K14" s="13"/>
      <c r="L14" s="13"/>
      <c r="M14" s="11"/>
    </row>
    <row r="15" spans="1:13" x14ac:dyDescent="0.35">
      <c r="B15" s="31" t="s">
        <v>58</v>
      </c>
      <c r="C15" s="13">
        <v>360</v>
      </c>
      <c r="D15" s="13"/>
      <c r="E15" s="30">
        <f>(C16-C15)*95</f>
        <v>8550</v>
      </c>
      <c r="F15" s="13"/>
      <c r="G15" s="13"/>
      <c r="H15" s="13"/>
      <c r="I15" s="13"/>
      <c r="J15" s="13"/>
      <c r="K15" s="13"/>
      <c r="L15" s="13"/>
      <c r="M15" s="11"/>
    </row>
    <row r="16" spans="1:13" x14ac:dyDescent="0.35">
      <c r="B16" s="32" t="s">
        <v>59</v>
      </c>
      <c r="C16" s="21">
        <v>450</v>
      </c>
      <c r="D16" s="21"/>
      <c r="E16" s="21"/>
      <c r="F16" s="21"/>
      <c r="G16" s="21"/>
      <c r="H16" s="21"/>
      <c r="I16" s="21"/>
      <c r="J16" s="21"/>
      <c r="K16" s="21"/>
      <c r="L16" s="21"/>
      <c r="M16" s="33"/>
    </row>
    <row r="18" spans="1:10" x14ac:dyDescent="0.35">
      <c r="B18" s="27" t="s">
        <v>129</v>
      </c>
      <c r="C18" s="28"/>
      <c r="D18" s="12"/>
      <c r="E18" s="12"/>
      <c r="F18" s="12"/>
      <c r="G18" s="12"/>
      <c r="H18" s="12"/>
      <c r="I18" s="12"/>
      <c r="J18" s="10"/>
    </row>
    <row r="19" spans="1:10" x14ac:dyDescent="0.35">
      <c r="A19" s="23" t="s">
        <v>323</v>
      </c>
      <c r="B19" s="45"/>
      <c r="C19" s="46" t="s">
        <v>39</v>
      </c>
      <c r="D19" s="46"/>
      <c r="E19" s="46"/>
      <c r="F19" s="46"/>
      <c r="G19" s="46"/>
      <c r="H19" s="46" t="s">
        <v>37</v>
      </c>
      <c r="I19" s="46" t="s">
        <v>38</v>
      </c>
      <c r="J19" s="87" t="s">
        <v>326</v>
      </c>
    </row>
    <row r="20" spans="1:10" x14ac:dyDescent="0.35">
      <c r="B20" s="37">
        <v>550</v>
      </c>
      <c r="C20" s="125" t="s">
        <v>10</v>
      </c>
      <c r="D20" s="125"/>
      <c r="E20" s="125"/>
      <c r="F20" s="125"/>
      <c r="G20" s="125"/>
      <c r="H20" s="30">
        <f>I21+I22</f>
        <v>45000</v>
      </c>
      <c r="I20" s="30"/>
      <c r="J20" s="11"/>
    </row>
    <row r="21" spans="1:10" x14ac:dyDescent="0.35">
      <c r="B21" s="31" t="s">
        <v>127</v>
      </c>
      <c r="C21" s="125" t="s">
        <v>128</v>
      </c>
      <c r="D21" s="125"/>
      <c r="E21" s="125"/>
      <c r="F21" s="125"/>
      <c r="G21" s="125"/>
      <c r="H21" s="30"/>
      <c r="I21" s="30">
        <v>5000</v>
      </c>
      <c r="J21" s="11"/>
    </row>
    <row r="22" spans="1:10" x14ac:dyDescent="0.35">
      <c r="B22" s="31" t="s">
        <v>100</v>
      </c>
      <c r="C22" s="125" t="s">
        <v>3</v>
      </c>
      <c r="D22" s="125"/>
      <c r="E22" s="125"/>
      <c r="F22" s="125"/>
      <c r="G22" s="125"/>
      <c r="H22" s="30"/>
      <c r="I22" s="30">
        <v>40000</v>
      </c>
      <c r="J22" s="11"/>
    </row>
    <row r="23" spans="1:10" x14ac:dyDescent="0.35">
      <c r="B23" s="31"/>
      <c r="C23" s="13"/>
      <c r="D23" s="13"/>
      <c r="E23" s="13"/>
      <c r="F23" s="13"/>
      <c r="G23" s="13"/>
      <c r="H23" s="13"/>
      <c r="I23" s="13"/>
      <c r="J23" s="11"/>
    </row>
    <row r="24" spans="1:10" x14ac:dyDescent="0.35">
      <c r="B24" s="45" t="s">
        <v>130</v>
      </c>
      <c r="C24" s="13"/>
      <c r="D24" s="13"/>
      <c r="E24" s="13"/>
      <c r="F24" s="13"/>
      <c r="G24" s="13"/>
      <c r="H24" s="13"/>
      <c r="I24" s="13"/>
      <c r="J24" s="11"/>
    </row>
    <row r="25" spans="1:10" x14ac:dyDescent="0.35">
      <c r="B25" s="45"/>
      <c r="C25" s="46" t="s">
        <v>39</v>
      </c>
      <c r="D25" s="46"/>
      <c r="E25" s="46"/>
      <c r="F25" s="46"/>
      <c r="G25" s="46"/>
      <c r="H25" s="46" t="s">
        <v>37</v>
      </c>
      <c r="I25" s="46" t="s">
        <v>38</v>
      </c>
      <c r="J25" s="87" t="s">
        <v>326</v>
      </c>
    </row>
    <row r="26" spans="1:10" x14ac:dyDescent="0.35">
      <c r="B26" s="37">
        <v>552</v>
      </c>
      <c r="C26" s="125" t="s">
        <v>12</v>
      </c>
      <c r="D26" s="125"/>
      <c r="E26" s="125"/>
      <c r="F26" s="125"/>
      <c r="G26" s="125"/>
      <c r="H26" s="41">
        <f>D9</f>
        <v>47250</v>
      </c>
      <c r="I26" s="13"/>
      <c r="J26" s="11"/>
    </row>
    <row r="27" spans="1:10" x14ac:dyDescent="0.35">
      <c r="B27" s="31" t="s">
        <v>70</v>
      </c>
      <c r="C27" s="125" t="s">
        <v>11</v>
      </c>
      <c r="D27" s="125"/>
      <c r="E27" s="125"/>
      <c r="F27" s="125"/>
      <c r="G27" s="125"/>
      <c r="H27" s="13"/>
      <c r="I27" s="41">
        <f>D9</f>
        <v>47250</v>
      </c>
      <c r="J27" s="11"/>
    </row>
    <row r="28" spans="1:10" x14ac:dyDescent="0.35">
      <c r="B28" s="31"/>
      <c r="C28" s="13"/>
      <c r="D28" s="13"/>
      <c r="E28" s="13"/>
      <c r="F28" s="13"/>
      <c r="G28" s="13"/>
      <c r="H28" s="13"/>
      <c r="I28" s="13"/>
      <c r="J28" s="11"/>
    </row>
    <row r="29" spans="1:10" x14ac:dyDescent="0.35">
      <c r="B29" s="45" t="s">
        <v>120</v>
      </c>
      <c r="C29" s="13"/>
      <c r="D29" s="13"/>
      <c r="E29" s="13"/>
      <c r="F29" s="13"/>
      <c r="G29" s="13"/>
      <c r="H29" s="13"/>
      <c r="I29" s="13"/>
      <c r="J29" s="11"/>
    </row>
    <row r="30" spans="1:10" x14ac:dyDescent="0.35">
      <c r="B30" s="45"/>
      <c r="C30" s="46" t="s">
        <v>39</v>
      </c>
      <c r="D30" s="46"/>
      <c r="E30" s="46"/>
      <c r="F30" s="46"/>
      <c r="G30" s="46"/>
      <c r="H30" s="46" t="s">
        <v>37</v>
      </c>
      <c r="I30" s="46" t="s">
        <v>38</v>
      </c>
      <c r="J30" s="87" t="s">
        <v>326</v>
      </c>
    </row>
    <row r="31" spans="1:10" x14ac:dyDescent="0.35">
      <c r="B31" s="37">
        <v>602</v>
      </c>
      <c r="C31" s="125" t="s">
        <v>17</v>
      </c>
      <c r="D31" s="125"/>
      <c r="E31" s="125"/>
      <c r="F31" s="125"/>
      <c r="G31" s="125"/>
      <c r="H31" s="41">
        <f>B12</f>
        <v>33000</v>
      </c>
      <c r="I31" s="13"/>
      <c r="J31" s="11"/>
    </row>
    <row r="32" spans="1:10" x14ac:dyDescent="0.35">
      <c r="B32" s="31" t="s">
        <v>72</v>
      </c>
      <c r="C32" s="125" t="s">
        <v>13</v>
      </c>
      <c r="D32" s="125"/>
      <c r="E32" s="125"/>
      <c r="F32" s="125"/>
      <c r="G32" s="125"/>
      <c r="H32" s="13"/>
      <c r="I32" s="41">
        <f>B12</f>
        <v>33000</v>
      </c>
      <c r="J32" s="11"/>
    </row>
    <row r="33" spans="1:14" x14ac:dyDescent="0.35">
      <c r="B33" s="31"/>
      <c r="C33" s="13"/>
      <c r="D33" s="13"/>
      <c r="E33" s="13"/>
      <c r="F33" s="13"/>
      <c r="G33" s="13"/>
      <c r="H33" s="13"/>
      <c r="I33" s="13"/>
      <c r="J33" s="11"/>
    </row>
    <row r="34" spans="1:14" x14ac:dyDescent="0.35">
      <c r="B34" s="45" t="s">
        <v>126</v>
      </c>
      <c r="C34" s="46"/>
      <c r="D34" s="13"/>
      <c r="E34" s="13"/>
      <c r="F34" s="13"/>
      <c r="G34" s="13"/>
      <c r="H34" s="13"/>
      <c r="I34" s="13"/>
      <c r="J34" s="11"/>
    </row>
    <row r="35" spans="1:14" x14ac:dyDescent="0.35">
      <c r="B35" s="45"/>
      <c r="C35" s="46" t="s">
        <v>39</v>
      </c>
      <c r="D35" s="46"/>
      <c r="E35" s="46"/>
      <c r="F35" s="46"/>
      <c r="G35" s="46"/>
      <c r="H35" s="46" t="s">
        <v>37</v>
      </c>
      <c r="I35" s="46" t="s">
        <v>38</v>
      </c>
      <c r="J35" s="87" t="s">
        <v>326</v>
      </c>
    </row>
    <row r="36" spans="1:14" x14ac:dyDescent="0.35">
      <c r="B36" s="37">
        <v>175</v>
      </c>
      <c r="C36" s="125" t="s">
        <v>132</v>
      </c>
      <c r="D36" s="125"/>
      <c r="E36" s="125"/>
      <c r="F36" s="125"/>
      <c r="G36" s="125"/>
      <c r="H36" s="41">
        <f>E15</f>
        <v>8550</v>
      </c>
      <c r="I36" s="13"/>
      <c r="J36" s="11"/>
    </row>
    <row r="37" spans="1:14" x14ac:dyDescent="0.35">
      <c r="B37" s="32" t="s">
        <v>131</v>
      </c>
      <c r="C37" s="124" t="s">
        <v>71</v>
      </c>
      <c r="D37" s="124"/>
      <c r="E37" s="124"/>
      <c r="F37" s="124"/>
      <c r="G37" s="124"/>
      <c r="H37" s="21"/>
      <c r="I37" s="9">
        <f>E15</f>
        <v>8550</v>
      </c>
      <c r="J37" s="33"/>
    </row>
    <row r="39" spans="1:14" ht="15" thickBot="1" x14ac:dyDescent="0.4">
      <c r="A39" s="23" t="s">
        <v>30</v>
      </c>
      <c r="B39" s="88" t="s">
        <v>52</v>
      </c>
      <c r="C39" s="145" t="s">
        <v>75</v>
      </c>
      <c r="D39" s="145"/>
      <c r="E39" s="145"/>
      <c r="F39" s="145"/>
      <c r="G39" s="89" t="s">
        <v>30</v>
      </c>
      <c r="H39" s="12"/>
      <c r="I39" s="89" t="s">
        <v>52</v>
      </c>
      <c r="J39" s="145" t="s">
        <v>133</v>
      </c>
      <c r="K39" s="145"/>
      <c r="L39" s="145"/>
      <c r="M39" s="145"/>
      <c r="N39" s="92" t="s">
        <v>30</v>
      </c>
    </row>
    <row r="40" spans="1:14" ht="15" thickTop="1" x14ac:dyDescent="0.35">
      <c r="B40" s="31"/>
      <c r="C40" s="13"/>
      <c r="D40" s="41">
        <f>H20</f>
        <v>45000</v>
      </c>
      <c r="E40" s="90"/>
      <c r="F40" s="13"/>
      <c r="G40" s="13"/>
      <c r="H40" s="74" t="s">
        <v>56</v>
      </c>
      <c r="I40" s="13"/>
      <c r="J40" s="13"/>
      <c r="K40" s="13"/>
      <c r="L40" s="90"/>
      <c r="M40" s="13"/>
      <c r="N40" s="75">
        <f>I27</f>
        <v>47250</v>
      </c>
    </row>
    <row r="41" spans="1:14" x14ac:dyDescent="0.35">
      <c r="B41" s="31"/>
      <c r="C41" s="13"/>
      <c r="D41" s="13"/>
      <c r="E41" s="91"/>
      <c r="F41" s="13"/>
      <c r="G41" s="13"/>
      <c r="H41" s="41">
        <f>N40-D40</f>
        <v>2250</v>
      </c>
      <c r="I41" s="13" t="s">
        <v>83</v>
      </c>
      <c r="J41" s="13"/>
      <c r="K41" s="13"/>
      <c r="L41" s="91"/>
      <c r="M41" s="13"/>
      <c r="N41" s="11"/>
    </row>
    <row r="42" spans="1:14" x14ac:dyDescent="0.35">
      <c r="B42" s="31"/>
      <c r="C42" s="13"/>
      <c r="D42" s="13"/>
      <c r="E42" s="91"/>
      <c r="F42" s="13"/>
      <c r="G42" s="13"/>
      <c r="H42" s="13"/>
      <c r="I42" s="13"/>
      <c r="J42" s="13"/>
      <c r="K42" s="13"/>
      <c r="L42" s="91"/>
      <c r="M42" s="13"/>
      <c r="N42" s="11"/>
    </row>
    <row r="43" spans="1:14" x14ac:dyDescent="0.35">
      <c r="B43" s="31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1"/>
    </row>
    <row r="44" spans="1:14" x14ac:dyDescent="0.35">
      <c r="B44" s="31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1"/>
    </row>
    <row r="45" spans="1:14" x14ac:dyDescent="0.35">
      <c r="B45" s="31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1"/>
    </row>
    <row r="46" spans="1:14" ht="15" thickBot="1" x14ac:dyDescent="0.4">
      <c r="B46" s="93" t="s">
        <v>52</v>
      </c>
      <c r="C46" s="146" t="s">
        <v>134</v>
      </c>
      <c r="D46" s="146"/>
      <c r="E46" s="146"/>
      <c r="F46" s="146"/>
      <c r="G46" s="94" t="s">
        <v>30</v>
      </c>
      <c r="H46" s="13"/>
      <c r="I46" s="94" t="s">
        <v>52</v>
      </c>
      <c r="J46" s="146" t="s">
        <v>135</v>
      </c>
      <c r="K46" s="146"/>
      <c r="L46" s="146"/>
      <c r="M46" s="146"/>
      <c r="N46" s="96" t="s">
        <v>30</v>
      </c>
    </row>
    <row r="47" spans="1:14" ht="15" thickTop="1" x14ac:dyDescent="0.35">
      <c r="B47" s="31"/>
      <c r="C47" s="13"/>
      <c r="D47" s="41">
        <f>D9</f>
        <v>47250</v>
      </c>
      <c r="E47" s="90"/>
      <c r="F47" s="13"/>
      <c r="G47" s="41">
        <f>I37</f>
        <v>8550</v>
      </c>
      <c r="H47" s="74" t="s">
        <v>25</v>
      </c>
      <c r="I47" s="13"/>
      <c r="J47" s="13"/>
      <c r="K47" s="97"/>
      <c r="L47" s="13"/>
      <c r="M47" s="13"/>
      <c r="N47" s="75">
        <f>I32</f>
        <v>33000</v>
      </c>
    </row>
    <row r="48" spans="1:14" x14ac:dyDescent="0.35">
      <c r="B48" s="32"/>
      <c r="C48" s="21"/>
      <c r="D48" s="21"/>
      <c r="E48" s="95"/>
      <c r="F48" s="21"/>
      <c r="G48" s="21"/>
      <c r="H48" s="9">
        <f>D47-N47-G47</f>
        <v>5700</v>
      </c>
      <c r="I48" s="21" t="s">
        <v>57</v>
      </c>
      <c r="J48" s="21"/>
      <c r="K48" s="98"/>
      <c r="L48" s="21"/>
      <c r="M48" s="21"/>
      <c r="N48" s="33"/>
    </row>
    <row r="51" spans="1:18" x14ac:dyDescent="0.35">
      <c r="A51" s="16"/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</row>
    <row r="52" spans="1:18" x14ac:dyDescent="0.35">
      <c r="A52" s="23" t="s">
        <v>62</v>
      </c>
    </row>
    <row r="53" spans="1:18" x14ac:dyDescent="0.35">
      <c r="A53" s="23" t="s">
        <v>321</v>
      </c>
      <c r="B53" s="149" t="s">
        <v>119</v>
      </c>
      <c r="C53" s="150"/>
      <c r="D53" s="12"/>
      <c r="E53" s="12"/>
      <c r="F53" s="12"/>
      <c r="G53" s="12"/>
      <c r="H53" s="12"/>
      <c r="I53" s="10"/>
    </row>
    <row r="54" spans="1:18" x14ac:dyDescent="0.35">
      <c r="B54" s="31" t="s">
        <v>68</v>
      </c>
      <c r="C54" s="13"/>
      <c r="D54" s="30">
        <v>78000</v>
      </c>
      <c r="E54" s="13" t="s">
        <v>136</v>
      </c>
      <c r="F54" s="13"/>
      <c r="G54" s="13"/>
      <c r="H54" s="13"/>
      <c r="I54" s="11"/>
    </row>
    <row r="55" spans="1:18" x14ac:dyDescent="0.35">
      <c r="B55" s="31" t="s">
        <v>121</v>
      </c>
      <c r="C55" s="13"/>
      <c r="D55" s="17">
        <v>54000</v>
      </c>
      <c r="E55" s="13" t="s">
        <v>137</v>
      </c>
      <c r="F55" s="13"/>
      <c r="G55" s="13"/>
      <c r="H55" s="13"/>
      <c r="I55" s="11"/>
    </row>
    <row r="56" spans="1:18" x14ac:dyDescent="0.35">
      <c r="B56" s="31"/>
      <c r="C56" s="13"/>
      <c r="D56" s="30">
        <f>SUM(D54:D55)</f>
        <v>132000</v>
      </c>
      <c r="E56" s="13"/>
      <c r="F56" s="13"/>
      <c r="G56" s="13"/>
      <c r="H56" s="13"/>
      <c r="I56" s="11"/>
    </row>
    <row r="57" spans="1:18" x14ac:dyDescent="0.35">
      <c r="B57" s="31"/>
      <c r="C57" s="13"/>
      <c r="D57" s="13"/>
      <c r="E57" s="13"/>
      <c r="F57" s="13"/>
      <c r="G57" s="13"/>
      <c r="H57" s="13"/>
      <c r="I57" s="11"/>
    </row>
    <row r="58" spans="1:18" x14ac:dyDescent="0.35">
      <c r="B58" s="147" t="s">
        <v>120</v>
      </c>
      <c r="C58" s="148"/>
      <c r="D58" s="13"/>
      <c r="E58" s="13"/>
      <c r="F58" s="13"/>
      <c r="G58" s="13"/>
      <c r="H58" s="13"/>
      <c r="I58" s="11"/>
    </row>
    <row r="59" spans="1:18" x14ac:dyDescent="0.35">
      <c r="B59" s="31" t="s">
        <v>138</v>
      </c>
      <c r="C59" s="17">
        <v>312000</v>
      </c>
      <c r="D59" s="127" t="s">
        <v>29</v>
      </c>
      <c r="E59" s="131">
        <f>C59/C60</f>
        <v>13</v>
      </c>
      <c r="F59" s="127" t="s">
        <v>33</v>
      </c>
      <c r="G59" s="132">
        <v>8</v>
      </c>
      <c r="H59" s="127" t="s">
        <v>29</v>
      </c>
      <c r="I59" s="136">
        <f>E59+G59</f>
        <v>21</v>
      </c>
    </row>
    <row r="60" spans="1:18" x14ac:dyDescent="0.35">
      <c r="B60" s="31"/>
      <c r="C60" s="60">
        <v>24000</v>
      </c>
      <c r="D60" s="127"/>
      <c r="E60" s="131"/>
      <c r="F60" s="127"/>
      <c r="G60" s="132"/>
      <c r="H60" s="127"/>
      <c r="I60" s="129"/>
    </row>
    <row r="61" spans="1:18" x14ac:dyDescent="0.35">
      <c r="B61" s="31"/>
      <c r="C61" s="13"/>
      <c r="D61" s="13"/>
      <c r="E61" s="13"/>
      <c r="F61" s="13"/>
      <c r="G61" s="13"/>
      <c r="H61" s="13"/>
      <c r="I61" s="11"/>
    </row>
    <row r="62" spans="1:18" x14ac:dyDescent="0.35">
      <c r="B62" s="31" t="s">
        <v>139</v>
      </c>
      <c r="C62" s="41">
        <f>6750*I59</f>
        <v>141750</v>
      </c>
      <c r="D62" s="13" t="s">
        <v>140</v>
      </c>
      <c r="E62" s="13"/>
      <c r="F62" s="13"/>
      <c r="G62" s="13"/>
      <c r="H62" s="13"/>
      <c r="I62" s="11"/>
    </row>
    <row r="63" spans="1:18" x14ac:dyDescent="0.35">
      <c r="B63" s="31"/>
      <c r="C63" s="13"/>
      <c r="D63" s="13"/>
      <c r="E63" s="13"/>
      <c r="F63" s="13"/>
      <c r="G63" s="13"/>
      <c r="H63" s="13"/>
      <c r="I63" s="11"/>
    </row>
    <row r="64" spans="1:18" x14ac:dyDescent="0.35">
      <c r="B64" s="147" t="s">
        <v>126</v>
      </c>
      <c r="C64" s="148"/>
      <c r="D64" s="13"/>
      <c r="E64" s="13"/>
      <c r="F64" s="13"/>
      <c r="G64" s="13"/>
      <c r="H64" s="13"/>
      <c r="I64" s="11"/>
    </row>
    <row r="65" spans="1:10" x14ac:dyDescent="0.35">
      <c r="B65" s="31" t="s">
        <v>141</v>
      </c>
      <c r="C65" s="13"/>
      <c r="D65" s="13"/>
      <c r="E65" s="13">
        <f>24000/4</f>
        <v>6000</v>
      </c>
      <c r="F65" s="13" t="s">
        <v>142</v>
      </c>
      <c r="G65" s="13"/>
      <c r="H65" s="13"/>
      <c r="I65" s="11"/>
    </row>
    <row r="66" spans="1:10" x14ac:dyDescent="0.35">
      <c r="B66" s="31" t="s">
        <v>144</v>
      </c>
      <c r="C66" s="13"/>
      <c r="D66" s="13"/>
      <c r="E66" s="60">
        <v>7500</v>
      </c>
      <c r="F66" s="13" t="s">
        <v>145</v>
      </c>
      <c r="G66" s="13"/>
      <c r="H66" s="13"/>
      <c r="I66" s="11"/>
    </row>
    <row r="67" spans="1:10" x14ac:dyDescent="0.35">
      <c r="B67" s="31" t="s">
        <v>143</v>
      </c>
      <c r="C67" s="13"/>
      <c r="D67" s="13"/>
      <c r="E67" s="60">
        <v>1500</v>
      </c>
      <c r="F67" s="13"/>
      <c r="G67" s="13"/>
      <c r="H67" s="13"/>
      <c r="I67" s="11"/>
    </row>
    <row r="68" spans="1:10" x14ac:dyDescent="0.35">
      <c r="B68" s="31"/>
      <c r="C68" s="13"/>
      <c r="D68" s="13"/>
      <c r="E68" s="13"/>
      <c r="F68" s="13"/>
      <c r="G68" s="13"/>
      <c r="H68" s="13"/>
      <c r="I68" s="11"/>
    </row>
    <row r="69" spans="1:10" x14ac:dyDescent="0.35">
      <c r="B69" s="32" t="s">
        <v>143</v>
      </c>
      <c r="C69" s="21"/>
      <c r="D69" s="17">
        <f>1500*13</f>
        <v>19500</v>
      </c>
      <c r="E69" s="21" t="s">
        <v>146</v>
      </c>
      <c r="F69" s="21"/>
      <c r="G69" s="21"/>
      <c r="H69" s="21"/>
      <c r="I69" s="33"/>
    </row>
    <row r="71" spans="1:10" x14ac:dyDescent="0.35">
      <c r="A71" s="22" t="s">
        <v>323</v>
      </c>
      <c r="B71" s="149" t="s">
        <v>147</v>
      </c>
      <c r="C71" s="150"/>
      <c r="D71" s="12"/>
      <c r="E71" s="12"/>
      <c r="F71" s="12"/>
      <c r="G71" s="12"/>
      <c r="H71" s="12"/>
      <c r="I71" s="12"/>
      <c r="J71" s="10"/>
    </row>
    <row r="72" spans="1:10" x14ac:dyDescent="0.35">
      <c r="B72" s="45"/>
      <c r="C72" s="46" t="s">
        <v>39</v>
      </c>
      <c r="D72" s="46"/>
      <c r="E72" s="46"/>
      <c r="F72" s="46"/>
      <c r="G72" s="46"/>
      <c r="H72" s="46" t="s">
        <v>37</v>
      </c>
      <c r="I72" s="46" t="s">
        <v>38</v>
      </c>
      <c r="J72" s="87" t="s">
        <v>326</v>
      </c>
    </row>
    <row r="73" spans="1:10" x14ac:dyDescent="0.35">
      <c r="B73" s="37">
        <v>550</v>
      </c>
      <c r="C73" s="125" t="s">
        <v>10</v>
      </c>
      <c r="D73" s="125"/>
      <c r="E73" s="125"/>
      <c r="F73" s="125"/>
      <c r="G73" s="125"/>
      <c r="H73" s="41">
        <f>I74+I75</f>
        <v>137650</v>
      </c>
      <c r="I73" s="13"/>
      <c r="J73" s="11"/>
    </row>
    <row r="74" spans="1:10" x14ac:dyDescent="0.35">
      <c r="B74" s="31" t="s">
        <v>127</v>
      </c>
      <c r="C74" s="125" t="s">
        <v>148</v>
      </c>
      <c r="D74" s="125"/>
      <c r="E74" s="125"/>
      <c r="F74" s="125"/>
      <c r="G74" s="125"/>
      <c r="H74" s="13"/>
      <c r="I74" s="30">
        <v>41250</v>
      </c>
      <c r="J74" s="11"/>
    </row>
    <row r="75" spans="1:10" x14ac:dyDescent="0.35">
      <c r="B75" s="31" t="s">
        <v>100</v>
      </c>
      <c r="C75" s="125" t="s">
        <v>3</v>
      </c>
      <c r="D75" s="125"/>
      <c r="E75" s="125"/>
      <c r="F75" s="125"/>
      <c r="G75" s="125"/>
      <c r="H75" s="13"/>
      <c r="I75" s="30">
        <v>96400</v>
      </c>
      <c r="J75" s="11"/>
    </row>
    <row r="76" spans="1:10" x14ac:dyDescent="0.35">
      <c r="B76" s="31"/>
      <c r="C76" s="13"/>
      <c r="D76" s="13"/>
      <c r="E76" s="13"/>
      <c r="F76" s="13"/>
      <c r="G76" s="13"/>
      <c r="H76" s="13"/>
      <c r="I76" s="13"/>
      <c r="J76" s="11"/>
    </row>
    <row r="77" spans="1:10" x14ac:dyDescent="0.35">
      <c r="B77" s="147" t="s">
        <v>130</v>
      </c>
      <c r="C77" s="148"/>
      <c r="D77" s="13"/>
      <c r="E77" s="13"/>
      <c r="F77" s="13"/>
      <c r="G77" s="13"/>
      <c r="H77" s="13"/>
      <c r="I77" s="13"/>
      <c r="J77" s="11"/>
    </row>
    <row r="78" spans="1:10" x14ac:dyDescent="0.35">
      <c r="B78" s="45"/>
      <c r="C78" s="46" t="s">
        <v>39</v>
      </c>
      <c r="D78" s="46"/>
      <c r="E78" s="46"/>
      <c r="F78" s="46"/>
      <c r="G78" s="46"/>
      <c r="H78" s="46" t="s">
        <v>37</v>
      </c>
      <c r="I78" s="46" t="s">
        <v>38</v>
      </c>
      <c r="J78" s="87" t="s">
        <v>326</v>
      </c>
    </row>
    <row r="79" spans="1:10" x14ac:dyDescent="0.35">
      <c r="B79" s="37">
        <v>552</v>
      </c>
      <c r="C79" s="125" t="s">
        <v>12</v>
      </c>
      <c r="D79" s="125"/>
      <c r="E79" s="125"/>
      <c r="F79" s="125"/>
      <c r="G79" s="125"/>
      <c r="H79" s="41">
        <f>D56</f>
        <v>132000</v>
      </c>
      <c r="I79" s="13"/>
      <c r="J79" s="11"/>
    </row>
    <row r="80" spans="1:10" x14ac:dyDescent="0.35">
      <c r="B80" s="31" t="s">
        <v>70</v>
      </c>
      <c r="C80" s="125" t="s">
        <v>11</v>
      </c>
      <c r="D80" s="125"/>
      <c r="E80" s="125"/>
      <c r="F80" s="125"/>
      <c r="G80" s="125"/>
      <c r="H80" s="13"/>
      <c r="I80" s="41">
        <f>D56</f>
        <v>132000</v>
      </c>
      <c r="J80" s="11"/>
    </row>
    <row r="81" spans="1:10" x14ac:dyDescent="0.35">
      <c r="B81" s="31"/>
      <c r="C81" s="13"/>
      <c r="D81" s="13"/>
      <c r="E81" s="13"/>
      <c r="F81" s="13"/>
      <c r="G81" s="13"/>
      <c r="H81" s="13"/>
      <c r="I81" s="13"/>
      <c r="J81" s="11"/>
    </row>
    <row r="82" spans="1:10" x14ac:dyDescent="0.35">
      <c r="B82" s="147" t="s">
        <v>120</v>
      </c>
      <c r="C82" s="148"/>
      <c r="D82" s="13"/>
      <c r="E82" s="13"/>
      <c r="F82" s="13"/>
      <c r="G82" s="13"/>
      <c r="H82" s="13"/>
      <c r="I82" s="13"/>
      <c r="J82" s="11"/>
    </row>
    <row r="83" spans="1:10" x14ac:dyDescent="0.35">
      <c r="B83" s="45"/>
      <c r="C83" s="46" t="s">
        <v>39</v>
      </c>
      <c r="D83" s="46"/>
      <c r="E83" s="46"/>
      <c r="F83" s="46"/>
      <c r="G83" s="46"/>
      <c r="H83" s="46" t="s">
        <v>37</v>
      </c>
      <c r="I83" s="46" t="s">
        <v>38</v>
      </c>
      <c r="J83" s="87" t="s">
        <v>326</v>
      </c>
    </row>
    <row r="84" spans="1:10" x14ac:dyDescent="0.35">
      <c r="B84" s="37">
        <v>602</v>
      </c>
      <c r="C84" s="125" t="s">
        <v>17</v>
      </c>
      <c r="D84" s="125"/>
      <c r="E84" s="125"/>
      <c r="F84" s="125"/>
      <c r="G84" s="125"/>
      <c r="H84" s="41">
        <f>C62</f>
        <v>141750</v>
      </c>
      <c r="I84" s="13"/>
      <c r="J84" s="11"/>
    </row>
    <row r="85" spans="1:10" x14ac:dyDescent="0.35">
      <c r="B85" s="31" t="s">
        <v>72</v>
      </c>
      <c r="C85" s="125" t="s">
        <v>13</v>
      </c>
      <c r="D85" s="125"/>
      <c r="E85" s="125"/>
      <c r="F85" s="125"/>
      <c r="G85" s="125"/>
      <c r="H85" s="13"/>
      <c r="I85" s="41">
        <f>C62</f>
        <v>141750</v>
      </c>
      <c r="J85" s="11"/>
    </row>
    <row r="86" spans="1:10" x14ac:dyDescent="0.35">
      <c r="B86" s="31"/>
      <c r="C86" s="13"/>
      <c r="D86" s="13"/>
      <c r="E86" s="13"/>
      <c r="F86" s="13"/>
      <c r="G86" s="13"/>
      <c r="H86" s="13"/>
      <c r="I86" s="13"/>
      <c r="J86" s="11"/>
    </row>
    <row r="87" spans="1:10" x14ac:dyDescent="0.35">
      <c r="B87" s="147" t="s">
        <v>126</v>
      </c>
      <c r="C87" s="148"/>
      <c r="D87" s="13"/>
      <c r="E87" s="13"/>
      <c r="F87" s="13"/>
      <c r="G87" s="13"/>
      <c r="H87" s="13"/>
      <c r="I87" s="13"/>
      <c r="J87" s="11"/>
    </row>
    <row r="88" spans="1:10" x14ac:dyDescent="0.35">
      <c r="B88" s="45"/>
      <c r="C88" s="46" t="s">
        <v>39</v>
      </c>
      <c r="D88" s="46"/>
      <c r="E88" s="46"/>
      <c r="F88" s="46"/>
      <c r="G88" s="46"/>
      <c r="H88" s="46" t="s">
        <v>37</v>
      </c>
      <c r="I88" s="46" t="s">
        <v>38</v>
      </c>
      <c r="J88" s="87" t="s">
        <v>326</v>
      </c>
    </row>
    <row r="89" spans="1:10" x14ac:dyDescent="0.35">
      <c r="B89" s="37">
        <v>552</v>
      </c>
      <c r="C89" s="125" t="s">
        <v>71</v>
      </c>
      <c r="D89" s="125"/>
      <c r="E89" s="125"/>
      <c r="F89" s="125"/>
      <c r="G89" s="125"/>
      <c r="H89" s="41">
        <f>D69</f>
        <v>19500</v>
      </c>
      <c r="I89" s="13"/>
      <c r="J89" s="11"/>
    </row>
    <row r="90" spans="1:10" x14ac:dyDescent="0.35">
      <c r="B90" s="31" t="s">
        <v>150</v>
      </c>
      <c r="C90" s="125" t="s">
        <v>149</v>
      </c>
      <c r="D90" s="125"/>
      <c r="E90" s="125"/>
      <c r="F90" s="125"/>
      <c r="G90" s="125"/>
      <c r="H90" s="13"/>
      <c r="I90" s="41">
        <f>D69</f>
        <v>19500</v>
      </c>
      <c r="J90" s="11"/>
    </row>
    <row r="91" spans="1:10" x14ac:dyDescent="0.35">
      <c r="B91" s="32"/>
      <c r="C91" s="21"/>
      <c r="D91" s="21"/>
      <c r="E91" s="21"/>
      <c r="F91" s="21"/>
      <c r="G91" s="21"/>
      <c r="H91" s="21"/>
      <c r="I91" s="21"/>
      <c r="J91" s="33"/>
    </row>
    <row r="92" spans="1:10" x14ac:dyDescent="0.35">
      <c r="A92" s="23" t="s">
        <v>30</v>
      </c>
      <c r="B92" s="149" t="s">
        <v>151</v>
      </c>
      <c r="C92" s="150"/>
      <c r="D92" s="12"/>
      <c r="E92" s="12"/>
      <c r="F92" s="10"/>
    </row>
    <row r="93" spans="1:10" x14ac:dyDescent="0.35">
      <c r="B93" s="140" t="s">
        <v>10</v>
      </c>
      <c r="C93" s="125"/>
      <c r="D93" s="125"/>
      <c r="E93" s="41">
        <f>H73</f>
        <v>137650</v>
      </c>
      <c r="F93" s="11"/>
    </row>
    <row r="94" spans="1:10" x14ac:dyDescent="0.35">
      <c r="B94" s="140" t="s">
        <v>11</v>
      </c>
      <c r="C94" s="125"/>
      <c r="D94" s="125"/>
      <c r="E94" s="9">
        <f>I80</f>
        <v>132000</v>
      </c>
      <c r="F94" s="11" t="s">
        <v>152</v>
      </c>
    </row>
    <row r="95" spans="1:10" x14ac:dyDescent="0.35">
      <c r="B95" s="140" t="s">
        <v>56</v>
      </c>
      <c r="C95" s="125"/>
      <c r="D95" s="125"/>
      <c r="E95" s="41">
        <f>E93-E94</f>
        <v>5650</v>
      </c>
      <c r="F95" s="11" t="s">
        <v>57</v>
      </c>
    </row>
    <row r="96" spans="1:10" x14ac:dyDescent="0.35">
      <c r="B96" s="31"/>
      <c r="C96" s="13"/>
      <c r="D96" s="13"/>
      <c r="E96" s="13"/>
      <c r="F96" s="11"/>
    </row>
    <row r="97" spans="1:18" x14ac:dyDescent="0.35">
      <c r="B97" s="147" t="s">
        <v>153</v>
      </c>
      <c r="C97" s="148"/>
      <c r="D97" s="13"/>
      <c r="E97" s="13"/>
      <c r="F97" s="11"/>
    </row>
    <row r="98" spans="1:18" x14ac:dyDescent="0.35">
      <c r="B98" s="140" t="s">
        <v>12</v>
      </c>
      <c r="C98" s="125"/>
      <c r="D98" s="125"/>
      <c r="E98" s="41">
        <f>H79</f>
        <v>132000</v>
      </c>
      <c r="F98" s="11"/>
    </row>
    <row r="99" spans="1:18" x14ac:dyDescent="0.35">
      <c r="B99" s="140" t="s">
        <v>13</v>
      </c>
      <c r="C99" s="125"/>
      <c r="D99" s="125"/>
      <c r="E99" s="9">
        <f>I85</f>
        <v>141750</v>
      </c>
      <c r="F99" s="11"/>
    </row>
    <row r="100" spans="1:18" x14ac:dyDescent="0.35">
      <c r="B100" s="141" t="s">
        <v>153</v>
      </c>
      <c r="C100" s="124"/>
      <c r="D100" s="124"/>
      <c r="E100" s="9">
        <f>E99-E98</f>
        <v>9750</v>
      </c>
      <c r="F100" s="33" t="s">
        <v>57</v>
      </c>
    </row>
    <row r="102" spans="1:18" x14ac:dyDescent="0.35">
      <c r="A102" s="23" t="s">
        <v>52</v>
      </c>
      <c r="B102" s="27"/>
      <c r="C102" s="28" t="s">
        <v>39</v>
      </c>
      <c r="D102" s="28"/>
      <c r="E102" s="28"/>
      <c r="F102" s="28"/>
      <c r="G102" s="28"/>
      <c r="H102" s="28" t="s">
        <v>37</v>
      </c>
      <c r="I102" s="28" t="s">
        <v>38</v>
      </c>
      <c r="J102" s="36" t="s">
        <v>326</v>
      </c>
    </row>
    <row r="103" spans="1:18" x14ac:dyDescent="0.35">
      <c r="B103" s="37">
        <v>930</v>
      </c>
      <c r="C103" s="125" t="s">
        <v>151</v>
      </c>
      <c r="D103" s="125"/>
      <c r="E103" s="125"/>
      <c r="F103" s="125"/>
      <c r="G103" s="125"/>
      <c r="H103" s="41">
        <f>E95</f>
        <v>5650</v>
      </c>
      <c r="I103" s="13"/>
      <c r="J103" s="11"/>
    </row>
    <row r="104" spans="1:18" x14ac:dyDescent="0.35">
      <c r="B104" s="37">
        <v>935</v>
      </c>
      <c r="C104" s="125" t="s">
        <v>25</v>
      </c>
      <c r="D104" s="125"/>
      <c r="E104" s="125"/>
      <c r="F104" s="125"/>
      <c r="G104" s="125"/>
      <c r="H104" s="41">
        <f>E100</f>
        <v>9750</v>
      </c>
      <c r="I104" s="13"/>
      <c r="J104" s="11"/>
    </row>
    <row r="105" spans="1:18" x14ac:dyDescent="0.35">
      <c r="B105" s="32" t="s">
        <v>80</v>
      </c>
      <c r="C105" s="124" t="s">
        <v>3</v>
      </c>
      <c r="D105" s="124"/>
      <c r="E105" s="124"/>
      <c r="F105" s="124"/>
      <c r="G105" s="124"/>
      <c r="H105" s="21"/>
      <c r="I105" s="9">
        <f>H103+H104</f>
        <v>15400</v>
      </c>
      <c r="J105" s="33"/>
    </row>
    <row r="107" spans="1:18" x14ac:dyDescent="0.35">
      <c r="A107" s="16"/>
      <c r="B107" s="16"/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</row>
    <row r="108" spans="1:18" x14ac:dyDescent="0.35">
      <c r="A108" s="23" t="s">
        <v>84</v>
      </c>
      <c r="B108" s="65"/>
      <c r="C108" s="12"/>
      <c r="D108" s="12"/>
      <c r="E108" s="12"/>
      <c r="F108" s="12"/>
      <c r="G108" s="12"/>
      <c r="H108" s="12"/>
      <c r="I108" s="12"/>
      <c r="J108" s="12"/>
      <c r="K108" s="12"/>
      <c r="L108" s="10"/>
    </row>
    <row r="109" spans="1:18" x14ac:dyDescent="0.35">
      <c r="A109" s="23" t="s">
        <v>321</v>
      </c>
      <c r="B109" s="50" t="s">
        <v>30</v>
      </c>
      <c r="C109" s="17">
        <v>396000</v>
      </c>
      <c r="D109" s="127" t="s">
        <v>29</v>
      </c>
      <c r="E109" s="131">
        <f>C109/C110</f>
        <v>22</v>
      </c>
      <c r="F109" s="127" t="s">
        <v>33</v>
      </c>
      <c r="G109" s="5" t="s">
        <v>34</v>
      </c>
      <c r="H109" s="17">
        <v>234000</v>
      </c>
      <c r="I109" s="127" t="s">
        <v>29</v>
      </c>
      <c r="J109" s="131">
        <f>H109/H110</f>
        <v>13</v>
      </c>
      <c r="K109" s="127" t="s">
        <v>29</v>
      </c>
      <c r="L109" s="136">
        <f>E109+J109</f>
        <v>35</v>
      </c>
    </row>
    <row r="110" spans="1:18" x14ac:dyDescent="0.35">
      <c r="B110" s="50" t="s">
        <v>31</v>
      </c>
      <c r="C110" s="79">
        <v>18000</v>
      </c>
      <c r="D110" s="130"/>
      <c r="E110" s="130"/>
      <c r="F110" s="130"/>
      <c r="G110" s="5" t="s">
        <v>35</v>
      </c>
      <c r="H110" s="79">
        <v>18000</v>
      </c>
      <c r="I110" s="130"/>
      <c r="J110" s="130"/>
      <c r="K110" s="130"/>
      <c r="L110" s="137"/>
    </row>
    <row r="112" spans="1:18" x14ac:dyDescent="0.35">
      <c r="A112" s="23" t="s">
        <v>323</v>
      </c>
      <c r="B112" s="149" t="s">
        <v>119</v>
      </c>
      <c r="C112" s="150"/>
      <c r="D112" s="12"/>
      <c r="E112" s="10"/>
    </row>
    <row r="113" spans="1:11" x14ac:dyDescent="0.35">
      <c r="B113" s="31" t="s">
        <v>154</v>
      </c>
      <c r="C113" s="41">
        <f>C109/12</f>
        <v>33000</v>
      </c>
      <c r="D113" s="13" t="s">
        <v>157</v>
      </c>
      <c r="E113" s="11"/>
    </row>
    <row r="114" spans="1:11" x14ac:dyDescent="0.35">
      <c r="B114" s="31" t="s">
        <v>155</v>
      </c>
      <c r="C114" s="9">
        <f>1000*J109</f>
        <v>13000</v>
      </c>
      <c r="D114" s="13" t="s">
        <v>158</v>
      </c>
      <c r="E114" s="11"/>
    </row>
    <row r="115" spans="1:11" x14ac:dyDescent="0.35">
      <c r="B115" s="31" t="s">
        <v>156</v>
      </c>
      <c r="C115" s="41">
        <f>SUM(C113:C114)</f>
        <v>46000</v>
      </c>
      <c r="D115" s="13"/>
      <c r="E115" s="11"/>
    </row>
    <row r="116" spans="1:11" x14ac:dyDescent="0.35">
      <c r="B116" s="31"/>
      <c r="C116" s="13"/>
      <c r="D116" s="13"/>
      <c r="E116" s="11"/>
    </row>
    <row r="117" spans="1:11" x14ac:dyDescent="0.35">
      <c r="B117" s="147" t="s">
        <v>139</v>
      </c>
      <c r="C117" s="148"/>
      <c r="D117" s="13"/>
      <c r="E117" s="11"/>
    </row>
    <row r="118" spans="1:11" x14ac:dyDescent="0.35">
      <c r="B118" s="99">
        <f>1000*35</f>
        <v>35000</v>
      </c>
      <c r="C118" s="21" t="s">
        <v>159</v>
      </c>
      <c r="D118" s="21"/>
      <c r="E118" s="33"/>
    </row>
    <row r="120" spans="1:11" x14ac:dyDescent="0.35">
      <c r="A120" s="23" t="s">
        <v>30</v>
      </c>
      <c r="B120" s="149" t="s">
        <v>147</v>
      </c>
      <c r="C120" s="150"/>
      <c r="D120" s="12"/>
      <c r="E120" s="12"/>
      <c r="F120" s="12"/>
      <c r="G120" s="12"/>
      <c r="H120" s="12"/>
      <c r="I120" s="12"/>
      <c r="J120" s="12"/>
      <c r="K120" s="10"/>
    </row>
    <row r="121" spans="1:11" x14ac:dyDescent="0.35">
      <c r="B121" s="45"/>
      <c r="C121" s="46" t="s">
        <v>39</v>
      </c>
      <c r="D121" s="46"/>
      <c r="E121" s="46"/>
      <c r="F121" s="46"/>
      <c r="G121" s="46"/>
      <c r="H121" s="46" t="s">
        <v>37</v>
      </c>
      <c r="I121" s="46" t="s">
        <v>38</v>
      </c>
      <c r="J121" s="46" t="s">
        <v>326</v>
      </c>
      <c r="K121" s="11"/>
    </row>
    <row r="122" spans="1:11" x14ac:dyDescent="0.35">
      <c r="B122" s="37">
        <v>550</v>
      </c>
      <c r="C122" s="125" t="s">
        <v>10</v>
      </c>
      <c r="D122" s="125"/>
      <c r="E122" s="125"/>
      <c r="F122" s="125"/>
      <c r="G122" s="125"/>
      <c r="H122" s="41">
        <f>I123+I124</f>
        <v>51100</v>
      </c>
      <c r="I122" s="13"/>
      <c r="J122" s="13"/>
      <c r="K122" s="11"/>
    </row>
    <row r="123" spans="1:11" x14ac:dyDescent="0.35">
      <c r="B123" s="31" t="s">
        <v>127</v>
      </c>
      <c r="C123" s="125" t="s">
        <v>148</v>
      </c>
      <c r="D123" s="125"/>
      <c r="E123" s="125"/>
      <c r="F123" s="125"/>
      <c r="G123" s="125"/>
      <c r="H123" s="13"/>
      <c r="I123" s="30">
        <v>36100</v>
      </c>
      <c r="J123" s="13"/>
      <c r="K123" s="11"/>
    </row>
    <row r="124" spans="1:11" x14ac:dyDescent="0.35">
      <c r="B124" s="31" t="s">
        <v>100</v>
      </c>
      <c r="C124" s="125" t="s">
        <v>3</v>
      </c>
      <c r="D124" s="125"/>
      <c r="E124" s="125"/>
      <c r="F124" s="125"/>
      <c r="G124" s="125"/>
      <c r="H124" s="13"/>
      <c r="I124" s="30">
        <v>15000</v>
      </c>
      <c r="J124" s="13"/>
      <c r="K124" s="11"/>
    </row>
    <row r="125" spans="1:11" x14ac:dyDescent="0.35">
      <c r="B125" s="31"/>
      <c r="C125" s="13"/>
      <c r="D125" s="13"/>
      <c r="E125" s="13"/>
      <c r="F125" s="13"/>
      <c r="G125" s="13"/>
      <c r="H125" s="13"/>
      <c r="I125" s="13"/>
      <c r="J125" s="13"/>
      <c r="K125" s="11"/>
    </row>
    <row r="126" spans="1:11" x14ac:dyDescent="0.35">
      <c r="B126" s="147" t="s">
        <v>130</v>
      </c>
      <c r="C126" s="148"/>
      <c r="D126" s="13"/>
      <c r="E126" s="13"/>
      <c r="F126" s="13"/>
      <c r="G126" s="13"/>
      <c r="H126" s="13"/>
      <c r="I126" s="13"/>
      <c r="J126" s="13"/>
      <c r="K126" s="11"/>
    </row>
    <row r="127" spans="1:11" x14ac:dyDescent="0.35">
      <c r="B127" s="45"/>
      <c r="C127" s="46" t="s">
        <v>39</v>
      </c>
      <c r="D127" s="46"/>
      <c r="E127" s="46"/>
      <c r="F127" s="46"/>
      <c r="G127" s="46"/>
      <c r="H127" s="46" t="s">
        <v>37</v>
      </c>
      <c r="I127" s="46" t="s">
        <v>38</v>
      </c>
      <c r="J127" s="46" t="s">
        <v>326</v>
      </c>
      <c r="K127" s="11"/>
    </row>
    <row r="128" spans="1:11" x14ac:dyDescent="0.35">
      <c r="B128" s="37">
        <v>552</v>
      </c>
      <c r="C128" s="125" t="s">
        <v>12</v>
      </c>
      <c r="D128" s="125"/>
      <c r="E128" s="125"/>
      <c r="F128" s="125"/>
      <c r="G128" s="125"/>
      <c r="H128" s="41">
        <f>C115</f>
        <v>46000</v>
      </c>
      <c r="I128" s="13"/>
      <c r="J128" s="13"/>
      <c r="K128" s="11"/>
    </row>
    <row r="129" spans="1:11" x14ac:dyDescent="0.35">
      <c r="B129" s="31" t="s">
        <v>70</v>
      </c>
      <c r="C129" s="125" t="s">
        <v>11</v>
      </c>
      <c r="D129" s="125"/>
      <c r="E129" s="125"/>
      <c r="F129" s="125"/>
      <c r="G129" s="125"/>
      <c r="H129" s="13"/>
      <c r="I129" s="41">
        <f>C115</f>
        <v>46000</v>
      </c>
      <c r="J129" s="13"/>
      <c r="K129" s="11"/>
    </row>
    <row r="130" spans="1:11" x14ac:dyDescent="0.35">
      <c r="B130" s="31"/>
      <c r="C130" s="13"/>
      <c r="D130" s="13"/>
      <c r="E130" s="13"/>
      <c r="F130" s="13"/>
      <c r="G130" s="13"/>
      <c r="H130" s="13"/>
      <c r="I130" s="13"/>
      <c r="J130" s="13"/>
      <c r="K130" s="11"/>
    </row>
    <row r="131" spans="1:11" x14ac:dyDescent="0.35">
      <c r="B131" s="147" t="s">
        <v>120</v>
      </c>
      <c r="C131" s="148"/>
      <c r="D131" s="13"/>
      <c r="E131" s="13"/>
      <c r="F131" s="13"/>
      <c r="G131" s="13"/>
      <c r="H131" s="13"/>
      <c r="I131" s="13"/>
      <c r="J131" s="13"/>
      <c r="K131" s="11"/>
    </row>
    <row r="132" spans="1:11" x14ac:dyDescent="0.35">
      <c r="B132" s="45"/>
      <c r="C132" s="46" t="s">
        <v>39</v>
      </c>
      <c r="D132" s="46"/>
      <c r="E132" s="46"/>
      <c r="F132" s="46"/>
      <c r="G132" s="46"/>
      <c r="H132" s="46" t="s">
        <v>37</v>
      </c>
      <c r="I132" s="46" t="s">
        <v>38</v>
      </c>
      <c r="J132" s="46" t="s">
        <v>326</v>
      </c>
      <c r="K132" s="11"/>
    </row>
    <row r="133" spans="1:11" x14ac:dyDescent="0.35">
      <c r="B133" s="37">
        <v>602</v>
      </c>
      <c r="C133" s="125" t="s">
        <v>17</v>
      </c>
      <c r="D133" s="125"/>
      <c r="E133" s="125"/>
      <c r="F133" s="125"/>
      <c r="G133" s="125"/>
      <c r="H133" s="41">
        <f>B118</f>
        <v>35000</v>
      </c>
      <c r="I133" s="13"/>
      <c r="J133" s="13"/>
      <c r="K133" s="11"/>
    </row>
    <row r="134" spans="1:11" x14ac:dyDescent="0.35">
      <c r="B134" s="31" t="s">
        <v>72</v>
      </c>
      <c r="C134" s="125" t="s">
        <v>13</v>
      </c>
      <c r="D134" s="125"/>
      <c r="E134" s="125"/>
      <c r="F134" s="125"/>
      <c r="G134" s="125"/>
      <c r="H134" s="13"/>
      <c r="I134" s="41">
        <f>B118</f>
        <v>35000</v>
      </c>
      <c r="J134" s="13"/>
      <c r="K134" s="11"/>
    </row>
    <row r="135" spans="1:11" x14ac:dyDescent="0.35">
      <c r="B135" s="31"/>
      <c r="C135" s="13"/>
      <c r="D135" s="13"/>
      <c r="E135" s="13"/>
      <c r="F135" s="13"/>
      <c r="G135" s="13"/>
      <c r="H135" s="13"/>
      <c r="I135" s="13"/>
      <c r="J135" s="13"/>
      <c r="K135" s="11"/>
    </row>
    <row r="136" spans="1:11" x14ac:dyDescent="0.35">
      <c r="B136" s="147" t="s">
        <v>126</v>
      </c>
      <c r="C136" s="148"/>
      <c r="D136" s="13"/>
      <c r="E136" s="13"/>
      <c r="F136" s="13"/>
      <c r="G136" s="13"/>
      <c r="H136" s="13"/>
      <c r="I136" s="13"/>
      <c r="J136" s="13"/>
      <c r="K136" s="11"/>
    </row>
    <row r="137" spans="1:11" x14ac:dyDescent="0.35">
      <c r="B137" s="45"/>
      <c r="C137" s="46" t="s">
        <v>39</v>
      </c>
      <c r="D137" s="46"/>
      <c r="E137" s="46"/>
      <c r="F137" s="46"/>
      <c r="G137" s="46"/>
      <c r="H137" s="46" t="s">
        <v>37</v>
      </c>
      <c r="I137" s="46" t="s">
        <v>38</v>
      </c>
      <c r="J137" s="46" t="s">
        <v>326</v>
      </c>
      <c r="K137" s="11"/>
    </row>
    <row r="138" spans="1:11" x14ac:dyDescent="0.35">
      <c r="B138" s="37">
        <v>175</v>
      </c>
      <c r="C138" s="125" t="s">
        <v>149</v>
      </c>
      <c r="D138" s="125"/>
      <c r="E138" s="125"/>
      <c r="F138" s="125"/>
      <c r="G138" s="125"/>
      <c r="H138" s="41">
        <f>(18000/12-1200)*22</f>
        <v>6600</v>
      </c>
      <c r="I138" s="13"/>
      <c r="J138" s="13" t="s">
        <v>160</v>
      </c>
      <c r="K138" s="11"/>
    </row>
    <row r="139" spans="1:11" x14ac:dyDescent="0.35">
      <c r="B139" s="64" t="s">
        <v>131</v>
      </c>
      <c r="C139" s="124" t="s">
        <v>71</v>
      </c>
      <c r="D139" s="124"/>
      <c r="E139" s="124"/>
      <c r="F139" s="124"/>
      <c r="G139" s="124"/>
      <c r="H139" s="21"/>
      <c r="I139" s="9">
        <f>H138</f>
        <v>6600</v>
      </c>
      <c r="J139" s="21"/>
      <c r="K139" s="33"/>
    </row>
    <row r="141" spans="1:11" x14ac:dyDescent="0.35">
      <c r="A141" s="23" t="s">
        <v>52</v>
      </c>
      <c r="B141" s="149" t="s">
        <v>153</v>
      </c>
      <c r="C141" s="150"/>
      <c r="D141" s="12"/>
      <c r="E141" s="12"/>
      <c r="F141" s="12"/>
      <c r="G141" s="12"/>
      <c r="H141" s="12"/>
      <c r="I141" s="12"/>
      <c r="J141" s="10"/>
    </row>
    <row r="142" spans="1:11" x14ac:dyDescent="0.35">
      <c r="B142" s="140" t="s">
        <v>12</v>
      </c>
      <c r="C142" s="125"/>
      <c r="D142" s="125"/>
      <c r="E142" s="41">
        <f>H128-H138</f>
        <v>39400</v>
      </c>
      <c r="F142" s="13"/>
      <c r="G142" s="13"/>
      <c r="H142" s="13"/>
      <c r="I142" s="13"/>
      <c r="J142" s="11"/>
    </row>
    <row r="143" spans="1:11" x14ac:dyDescent="0.35">
      <c r="B143" s="140" t="s">
        <v>13</v>
      </c>
      <c r="C143" s="125"/>
      <c r="D143" s="125"/>
      <c r="E143" s="9">
        <f>I134</f>
        <v>35000</v>
      </c>
      <c r="F143" s="13"/>
      <c r="G143" s="13"/>
      <c r="H143" s="13"/>
      <c r="I143" s="13"/>
      <c r="J143" s="11"/>
    </row>
    <row r="144" spans="1:11" x14ac:dyDescent="0.35">
      <c r="B144" s="140" t="s">
        <v>153</v>
      </c>
      <c r="C144" s="125"/>
      <c r="D144" s="125"/>
      <c r="E144" s="41">
        <f>E142-E143</f>
        <v>4400</v>
      </c>
      <c r="F144" s="13" t="s">
        <v>57</v>
      </c>
      <c r="G144" s="13"/>
      <c r="H144" s="13"/>
      <c r="I144" s="13"/>
      <c r="J144" s="11"/>
    </row>
    <row r="145" spans="1:18" x14ac:dyDescent="0.35">
      <c r="B145" s="31"/>
      <c r="C145" s="13"/>
      <c r="D145" s="13"/>
      <c r="E145" s="13"/>
      <c r="F145" s="13"/>
      <c r="G145" s="13"/>
      <c r="H145" s="13"/>
      <c r="I145" s="13"/>
      <c r="J145" s="11"/>
    </row>
    <row r="146" spans="1:18" x14ac:dyDescent="0.35">
      <c r="B146" s="45"/>
      <c r="C146" s="46" t="s">
        <v>39</v>
      </c>
      <c r="D146" s="46"/>
      <c r="E146" s="46"/>
      <c r="F146" s="46"/>
      <c r="G146" s="46"/>
      <c r="H146" s="46" t="s">
        <v>37</v>
      </c>
      <c r="I146" s="46" t="s">
        <v>38</v>
      </c>
      <c r="J146" s="87" t="s">
        <v>326</v>
      </c>
    </row>
    <row r="147" spans="1:18" x14ac:dyDescent="0.35">
      <c r="B147" s="37">
        <v>935</v>
      </c>
      <c r="C147" s="125" t="s">
        <v>25</v>
      </c>
      <c r="D147" s="125"/>
      <c r="E147" s="125"/>
      <c r="F147" s="125"/>
      <c r="G147" s="125"/>
      <c r="H147" s="41">
        <f>E144</f>
        <v>4400</v>
      </c>
      <c r="I147" s="13"/>
      <c r="J147" s="11"/>
    </row>
    <row r="148" spans="1:18" x14ac:dyDescent="0.35">
      <c r="B148" s="32" t="s">
        <v>80</v>
      </c>
      <c r="C148" s="124" t="s">
        <v>3</v>
      </c>
      <c r="D148" s="124"/>
      <c r="E148" s="124"/>
      <c r="F148" s="124"/>
      <c r="G148" s="124"/>
      <c r="H148" s="21"/>
      <c r="I148" s="9">
        <f>E144</f>
        <v>4400</v>
      </c>
      <c r="J148" s="33"/>
    </row>
    <row r="150" spans="1:18" x14ac:dyDescent="0.35">
      <c r="A150" s="16"/>
      <c r="B150" s="16"/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16"/>
    </row>
    <row r="151" spans="1:18" x14ac:dyDescent="0.35">
      <c r="A151" s="23" t="s">
        <v>161</v>
      </c>
      <c r="B151" s="1"/>
    </row>
    <row r="152" spans="1:18" x14ac:dyDescent="0.35">
      <c r="A152" s="23" t="s">
        <v>321</v>
      </c>
      <c r="B152" s="27" t="s">
        <v>162</v>
      </c>
      <c r="C152" s="12"/>
      <c r="D152" s="12"/>
      <c r="E152" s="12"/>
      <c r="F152" s="12"/>
      <c r="G152" s="12"/>
      <c r="H152" s="12"/>
      <c r="I152" s="12"/>
      <c r="J152" s="12"/>
      <c r="K152" s="12"/>
      <c r="L152" s="10"/>
    </row>
    <row r="153" spans="1:18" x14ac:dyDescent="0.35">
      <c r="B153" s="45" t="s">
        <v>163</v>
      </c>
      <c r="C153" s="13"/>
      <c r="D153" s="13"/>
      <c r="E153" s="13"/>
      <c r="F153" s="13"/>
      <c r="G153" s="13"/>
      <c r="H153" s="13"/>
      <c r="I153" s="13"/>
      <c r="J153" s="13"/>
      <c r="K153" s="13"/>
      <c r="L153" s="11"/>
    </row>
    <row r="154" spans="1:18" x14ac:dyDescent="0.35">
      <c r="B154" s="50" t="s">
        <v>30</v>
      </c>
      <c r="C154" s="30">
        <v>400000</v>
      </c>
      <c r="D154" s="127" t="s">
        <v>29</v>
      </c>
      <c r="E154" s="131">
        <f>C154/C155</f>
        <v>200</v>
      </c>
      <c r="F154" s="127" t="s">
        <v>33</v>
      </c>
      <c r="G154" s="5" t="s">
        <v>34</v>
      </c>
      <c r="H154" s="30">
        <v>200000</v>
      </c>
      <c r="I154" s="127" t="s">
        <v>29</v>
      </c>
      <c r="J154" s="131">
        <f>H154/H155</f>
        <v>100</v>
      </c>
      <c r="K154" s="127" t="s">
        <v>29</v>
      </c>
      <c r="L154" s="136">
        <f>E154+J154</f>
        <v>300</v>
      </c>
    </row>
    <row r="155" spans="1:18" x14ac:dyDescent="0.35">
      <c r="B155" s="85" t="s">
        <v>31</v>
      </c>
      <c r="C155" s="60">
        <v>2000</v>
      </c>
      <c r="D155" s="127"/>
      <c r="E155" s="127"/>
      <c r="F155" s="127"/>
      <c r="G155" s="61" t="s">
        <v>35</v>
      </c>
      <c r="H155" s="60">
        <v>2000</v>
      </c>
      <c r="I155" s="127"/>
      <c r="J155" s="127"/>
      <c r="K155" s="127"/>
      <c r="L155" s="129"/>
    </row>
    <row r="156" spans="1:18" x14ac:dyDescent="0.35">
      <c r="B156" s="31"/>
      <c r="C156" s="13"/>
      <c r="D156" s="13"/>
      <c r="E156" s="13"/>
      <c r="F156" s="13"/>
      <c r="G156" s="13"/>
      <c r="H156" s="13"/>
      <c r="I156" s="13"/>
      <c r="J156" s="13"/>
      <c r="K156" s="13"/>
      <c r="L156" s="11"/>
    </row>
    <row r="157" spans="1:18" x14ac:dyDescent="0.35">
      <c r="B157" s="45" t="s">
        <v>164</v>
      </c>
      <c r="C157" s="13"/>
      <c r="D157" s="13"/>
      <c r="E157" s="13"/>
      <c r="F157" s="13"/>
      <c r="G157" s="13"/>
      <c r="H157" s="13"/>
      <c r="I157" s="13"/>
      <c r="J157" s="13"/>
      <c r="K157" s="13"/>
      <c r="L157" s="11"/>
    </row>
    <row r="158" spans="1:18" x14ac:dyDescent="0.35">
      <c r="B158" s="50" t="s">
        <v>30</v>
      </c>
      <c r="C158" s="30">
        <v>180000</v>
      </c>
      <c r="D158" s="127" t="s">
        <v>29</v>
      </c>
      <c r="E158" s="131">
        <f>C158/C159</f>
        <v>4.5</v>
      </c>
      <c r="F158" s="127" t="s">
        <v>33</v>
      </c>
      <c r="G158" s="5" t="s">
        <v>34</v>
      </c>
      <c r="H158" s="30">
        <v>110000</v>
      </c>
      <c r="I158" s="127" t="s">
        <v>29</v>
      </c>
      <c r="J158" s="131">
        <f>H158/H159</f>
        <v>2.5</v>
      </c>
      <c r="K158" s="127" t="s">
        <v>29</v>
      </c>
      <c r="L158" s="136">
        <f>E158+J158</f>
        <v>7</v>
      </c>
    </row>
    <row r="159" spans="1:18" x14ac:dyDescent="0.35">
      <c r="B159" s="85" t="s">
        <v>31</v>
      </c>
      <c r="C159" s="60">
        <v>40000</v>
      </c>
      <c r="D159" s="127"/>
      <c r="E159" s="127"/>
      <c r="F159" s="127"/>
      <c r="G159" s="61" t="s">
        <v>35</v>
      </c>
      <c r="H159" s="60">
        <v>44000</v>
      </c>
      <c r="I159" s="127"/>
      <c r="J159" s="127"/>
      <c r="K159" s="127"/>
      <c r="L159" s="129"/>
    </row>
    <row r="160" spans="1:18" x14ac:dyDescent="0.35">
      <c r="B160" s="31"/>
      <c r="C160" s="13"/>
      <c r="D160" s="13"/>
      <c r="E160" s="13"/>
      <c r="F160" s="13"/>
      <c r="G160" s="13"/>
      <c r="H160" s="13"/>
      <c r="I160" s="13"/>
      <c r="J160" s="13"/>
      <c r="K160" s="13"/>
      <c r="L160" s="11"/>
    </row>
    <row r="161" spans="1:12" x14ac:dyDescent="0.35">
      <c r="B161" s="45" t="s">
        <v>165</v>
      </c>
      <c r="C161" s="13"/>
      <c r="D161" s="13"/>
      <c r="E161" s="13"/>
      <c r="F161" s="13"/>
      <c r="G161" s="13"/>
      <c r="H161" s="13"/>
      <c r="I161" s="13"/>
      <c r="J161" s="13"/>
      <c r="K161" s="13"/>
      <c r="L161" s="11"/>
    </row>
    <row r="162" spans="1:12" x14ac:dyDescent="0.35">
      <c r="B162" s="50" t="s">
        <v>30</v>
      </c>
      <c r="C162" s="30">
        <v>620000</v>
      </c>
      <c r="D162" s="127" t="s">
        <v>29</v>
      </c>
      <c r="E162" s="131">
        <f>C162/C163</f>
        <v>15.5</v>
      </c>
      <c r="F162" s="127" t="s">
        <v>33</v>
      </c>
      <c r="G162" s="5" t="s">
        <v>34</v>
      </c>
      <c r="H162" s="30">
        <v>330000</v>
      </c>
      <c r="I162" s="127" t="s">
        <v>29</v>
      </c>
      <c r="J162" s="131">
        <f>H162/H163</f>
        <v>7.5</v>
      </c>
      <c r="K162" s="127" t="s">
        <v>29</v>
      </c>
      <c r="L162" s="136">
        <f>E162+J162</f>
        <v>23</v>
      </c>
    </row>
    <row r="163" spans="1:12" x14ac:dyDescent="0.35">
      <c r="B163" s="85" t="s">
        <v>31</v>
      </c>
      <c r="C163" s="60">
        <v>40000</v>
      </c>
      <c r="D163" s="127"/>
      <c r="E163" s="127"/>
      <c r="F163" s="127"/>
      <c r="G163" s="61" t="s">
        <v>35</v>
      </c>
      <c r="H163" s="60">
        <v>44000</v>
      </c>
      <c r="I163" s="127"/>
      <c r="J163" s="127"/>
      <c r="K163" s="127"/>
      <c r="L163" s="129"/>
    </row>
    <row r="164" spans="1:12" x14ac:dyDescent="0.35">
      <c r="B164" s="31"/>
      <c r="C164" s="13"/>
      <c r="D164" s="13"/>
      <c r="E164" s="13"/>
      <c r="F164" s="13"/>
      <c r="G164" s="13"/>
      <c r="H164" s="13"/>
      <c r="I164" s="13"/>
      <c r="J164" s="13"/>
      <c r="K164" s="13"/>
      <c r="L164" s="11"/>
    </row>
    <row r="165" spans="1:12" x14ac:dyDescent="0.35">
      <c r="B165" s="45" t="s">
        <v>166</v>
      </c>
      <c r="C165" s="13"/>
      <c r="D165" s="13"/>
      <c r="E165" s="13"/>
      <c r="F165" s="13"/>
      <c r="G165" s="13"/>
      <c r="H165" s="13"/>
      <c r="I165" s="13"/>
      <c r="J165" s="13"/>
      <c r="K165" s="13"/>
      <c r="L165" s="11"/>
    </row>
    <row r="166" spans="1:12" x14ac:dyDescent="0.35">
      <c r="B166" s="50" t="s">
        <v>30</v>
      </c>
      <c r="C166" s="30">
        <v>210000</v>
      </c>
      <c r="D166" s="127" t="s">
        <v>29</v>
      </c>
      <c r="E166" s="152">
        <v>0.03</v>
      </c>
      <c r="F166" s="127" t="s">
        <v>33</v>
      </c>
      <c r="G166" s="5" t="s">
        <v>34</v>
      </c>
      <c r="H166" s="30">
        <v>70000</v>
      </c>
      <c r="I166" s="127" t="s">
        <v>29</v>
      </c>
      <c r="J166" s="154">
        <v>0.01</v>
      </c>
      <c r="K166" s="127" t="s">
        <v>29</v>
      </c>
      <c r="L166" s="151">
        <v>0.04</v>
      </c>
    </row>
    <row r="167" spans="1:12" x14ac:dyDescent="0.35">
      <c r="B167" s="50" t="s">
        <v>31</v>
      </c>
      <c r="C167" s="79">
        <v>70000</v>
      </c>
      <c r="D167" s="130"/>
      <c r="E167" s="153"/>
      <c r="F167" s="130"/>
      <c r="G167" s="5" t="s">
        <v>35</v>
      </c>
      <c r="H167" s="79">
        <v>70000</v>
      </c>
      <c r="I167" s="130"/>
      <c r="J167" s="155"/>
      <c r="K167" s="130"/>
      <c r="L167" s="137"/>
    </row>
    <row r="168" spans="1:12" x14ac:dyDescent="0.35">
      <c r="B168" s="6"/>
      <c r="C168" s="2"/>
      <c r="D168" s="3"/>
      <c r="E168" s="18"/>
      <c r="F168" s="3"/>
      <c r="G168" s="6"/>
      <c r="H168" s="2"/>
      <c r="I168" s="3"/>
      <c r="J168" s="19"/>
      <c r="K168" s="3"/>
      <c r="L168" s="3"/>
    </row>
    <row r="169" spans="1:12" x14ac:dyDescent="0.35">
      <c r="B169" s="149" t="s">
        <v>170</v>
      </c>
      <c r="C169" s="150"/>
      <c r="D169" s="12"/>
      <c r="E169" s="12"/>
      <c r="F169" s="12"/>
      <c r="G169" s="12"/>
      <c r="H169" s="12"/>
      <c r="I169" s="12"/>
      <c r="J169" s="12"/>
      <c r="K169" s="10"/>
    </row>
    <row r="170" spans="1:12" x14ac:dyDescent="0.35">
      <c r="A170" s="23" t="s">
        <v>323</v>
      </c>
      <c r="B170" s="45"/>
      <c r="C170" s="46" t="s">
        <v>39</v>
      </c>
      <c r="D170" s="46"/>
      <c r="E170" s="46"/>
      <c r="F170" s="46"/>
      <c r="G170" s="46"/>
      <c r="H170" s="46" t="s">
        <v>37</v>
      </c>
      <c r="I170" s="46" t="s">
        <v>38</v>
      </c>
      <c r="J170" s="46" t="s">
        <v>326</v>
      </c>
      <c r="K170" s="11"/>
    </row>
    <row r="171" spans="1:12" x14ac:dyDescent="0.35">
      <c r="B171" s="37">
        <v>310</v>
      </c>
      <c r="C171" s="125" t="s">
        <v>169</v>
      </c>
      <c r="D171" s="125"/>
      <c r="E171" s="125"/>
      <c r="F171" s="125"/>
      <c r="G171" s="125"/>
      <c r="H171" s="30">
        <v>71900</v>
      </c>
      <c r="I171" s="30"/>
      <c r="J171" s="13"/>
      <c r="K171" s="11"/>
    </row>
    <row r="172" spans="1:12" x14ac:dyDescent="0.35">
      <c r="B172" s="37">
        <v>180</v>
      </c>
      <c r="C172" s="125" t="s">
        <v>168</v>
      </c>
      <c r="D172" s="125"/>
      <c r="E172" s="125"/>
      <c r="F172" s="125"/>
      <c r="G172" s="125"/>
      <c r="H172" s="30">
        <f>21/100*H171</f>
        <v>15099</v>
      </c>
      <c r="I172" s="30"/>
      <c r="J172" s="13"/>
      <c r="K172" s="11"/>
    </row>
    <row r="173" spans="1:12" x14ac:dyDescent="0.35">
      <c r="B173" s="31" t="s">
        <v>172</v>
      </c>
      <c r="C173" s="125" t="s">
        <v>167</v>
      </c>
      <c r="D173" s="125"/>
      <c r="E173" s="125"/>
      <c r="F173" s="125"/>
      <c r="G173" s="125"/>
      <c r="H173" s="30"/>
      <c r="I173" s="30">
        <f>H171+H172</f>
        <v>86999</v>
      </c>
      <c r="J173" s="13"/>
      <c r="K173" s="11"/>
    </row>
    <row r="174" spans="1:12" x14ac:dyDescent="0.35">
      <c r="B174" s="31"/>
      <c r="C174" s="13"/>
      <c r="D174" s="13"/>
      <c r="E174" s="13"/>
      <c r="F174" s="13"/>
      <c r="G174" s="13"/>
      <c r="H174" s="13"/>
      <c r="I174" s="13"/>
      <c r="J174" s="13"/>
      <c r="K174" s="11"/>
    </row>
    <row r="175" spans="1:12" x14ac:dyDescent="0.35">
      <c r="B175" s="147" t="s">
        <v>171</v>
      </c>
      <c r="C175" s="148"/>
      <c r="D175" s="13"/>
      <c r="E175" s="13"/>
      <c r="F175" s="13"/>
      <c r="G175" s="13"/>
      <c r="H175" s="13"/>
      <c r="I175" s="13"/>
      <c r="J175" s="13"/>
      <c r="K175" s="11"/>
    </row>
    <row r="176" spans="1:12" x14ac:dyDescent="0.35">
      <c r="B176" s="45"/>
      <c r="C176" s="46" t="s">
        <v>39</v>
      </c>
      <c r="D176" s="46"/>
      <c r="E176" s="46"/>
      <c r="F176" s="46"/>
      <c r="G176" s="46"/>
      <c r="H176" s="46" t="s">
        <v>37</v>
      </c>
      <c r="I176" s="46" t="s">
        <v>38</v>
      </c>
      <c r="J176" s="46" t="s">
        <v>326</v>
      </c>
      <c r="K176" s="11"/>
    </row>
    <row r="177" spans="2:11" x14ac:dyDescent="0.35">
      <c r="B177" s="37">
        <v>300</v>
      </c>
      <c r="C177" s="125" t="s">
        <v>176</v>
      </c>
      <c r="D177" s="125"/>
      <c r="E177" s="125"/>
      <c r="F177" s="125"/>
      <c r="G177" s="125"/>
      <c r="H177" s="30">
        <f>6800*11</f>
        <v>74800</v>
      </c>
      <c r="I177" s="30"/>
      <c r="J177" s="13" t="s">
        <v>181</v>
      </c>
      <c r="K177" s="11"/>
    </row>
    <row r="178" spans="2:11" x14ac:dyDescent="0.35">
      <c r="B178" s="31" t="s">
        <v>173</v>
      </c>
      <c r="C178" s="125" t="s">
        <v>169</v>
      </c>
      <c r="D178" s="125"/>
      <c r="E178" s="125"/>
      <c r="F178" s="125"/>
      <c r="G178" s="125"/>
      <c r="H178" s="30"/>
      <c r="I178" s="30">
        <v>74460</v>
      </c>
      <c r="J178" s="13"/>
      <c r="K178" s="11"/>
    </row>
    <row r="179" spans="2:11" x14ac:dyDescent="0.35">
      <c r="B179" s="31" t="s">
        <v>174</v>
      </c>
      <c r="C179" s="125" t="s">
        <v>175</v>
      </c>
      <c r="D179" s="125"/>
      <c r="E179" s="125"/>
      <c r="F179" s="125"/>
      <c r="G179" s="125"/>
      <c r="H179" s="30"/>
      <c r="I179" s="30">
        <f>H177-I178</f>
        <v>340</v>
      </c>
      <c r="J179" s="13"/>
      <c r="K179" s="11"/>
    </row>
    <row r="180" spans="2:11" x14ac:dyDescent="0.35">
      <c r="B180" s="31"/>
      <c r="C180" s="13"/>
      <c r="D180" s="13"/>
      <c r="E180" s="13"/>
      <c r="F180" s="13"/>
      <c r="G180" s="13"/>
      <c r="H180" s="30"/>
      <c r="I180" s="30"/>
      <c r="J180" s="13"/>
      <c r="K180" s="11"/>
    </row>
    <row r="181" spans="2:11" x14ac:dyDescent="0.35">
      <c r="B181" s="147" t="s">
        <v>177</v>
      </c>
      <c r="C181" s="148"/>
      <c r="D181" s="13"/>
      <c r="E181" s="13"/>
      <c r="F181" s="13"/>
      <c r="G181" s="13"/>
      <c r="H181" s="30"/>
      <c r="I181" s="30"/>
      <c r="J181" s="13"/>
      <c r="K181" s="11"/>
    </row>
    <row r="182" spans="2:11" x14ac:dyDescent="0.35">
      <c r="B182" s="45"/>
      <c r="C182" s="46" t="s">
        <v>39</v>
      </c>
      <c r="D182" s="46"/>
      <c r="E182" s="46"/>
      <c r="F182" s="46"/>
      <c r="G182" s="46"/>
      <c r="H182" s="46" t="s">
        <v>37</v>
      </c>
      <c r="I182" s="46" t="s">
        <v>38</v>
      </c>
      <c r="J182" s="46" t="s">
        <v>326</v>
      </c>
      <c r="K182" s="11"/>
    </row>
    <row r="183" spans="2:11" x14ac:dyDescent="0.35">
      <c r="B183" s="37">
        <v>280</v>
      </c>
      <c r="C183" s="125"/>
      <c r="D183" s="125"/>
      <c r="E183" s="125"/>
      <c r="F183" s="125"/>
      <c r="G183" s="125"/>
      <c r="H183" s="30">
        <f>1.1*620000</f>
        <v>682000</v>
      </c>
      <c r="I183" s="13"/>
      <c r="J183" s="13"/>
      <c r="K183" s="11"/>
    </row>
    <row r="184" spans="2:11" x14ac:dyDescent="0.35">
      <c r="B184" s="31" t="s">
        <v>267</v>
      </c>
      <c r="C184" s="125"/>
      <c r="D184" s="125"/>
      <c r="E184" s="125"/>
      <c r="F184" s="125"/>
      <c r="G184" s="125"/>
      <c r="H184" s="30"/>
      <c r="I184" s="30">
        <v>326300</v>
      </c>
      <c r="J184" s="13"/>
      <c r="K184" s="11"/>
    </row>
    <row r="185" spans="2:11" x14ac:dyDescent="0.35">
      <c r="B185" s="31" t="s">
        <v>268</v>
      </c>
      <c r="C185" s="125"/>
      <c r="D185" s="125"/>
      <c r="E185" s="125"/>
      <c r="F185" s="125"/>
      <c r="G185" s="125"/>
      <c r="H185" s="30"/>
      <c r="I185" s="30">
        <f>H183-I184</f>
        <v>355700</v>
      </c>
      <c r="J185" s="13"/>
      <c r="K185" s="11"/>
    </row>
    <row r="186" spans="2:11" x14ac:dyDescent="0.35">
      <c r="B186" s="31"/>
      <c r="C186" s="13"/>
      <c r="D186" s="13"/>
      <c r="E186" s="13"/>
      <c r="F186" s="13"/>
      <c r="G186" s="13"/>
      <c r="H186" s="30"/>
      <c r="I186" s="30"/>
      <c r="J186" s="13"/>
      <c r="K186" s="11"/>
    </row>
    <row r="187" spans="2:11" x14ac:dyDescent="0.35">
      <c r="B187" s="147" t="s">
        <v>266</v>
      </c>
      <c r="C187" s="148"/>
      <c r="D187" s="13"/>
      <c r="E187" s="13"/>
      <c r="F187" s="13"/>
      <c r="G187" s="13"/>
      <c r="H187" s="13"/>
      <c r="I187" s="13"/>
      <c r="J187" s="13"/>
      <c r="K187" s="11"/>
    </row>
    <row r="188" spans="2:11" x14ac:dyDescent="0.35">
      <c r="B188" s="45"/>
      <c r="C188" s="46" t="s">
        <v>39</v>
      </c>
      <c r="D188" s="46"/>
      <c r="E188" s="46"/>
      <c r="F188" s="46"/>
      <c r="G188" s="46"/>
      <c r="H188" s="46" t="s">
        <v>37</v>
      </c>
      <c r="I188" s="46" t="s">
        <v>38</v>
      </c>
      <c r="J188" s="46" t="s">
        <v>326</v>
      </c>
      <c r="K188" s="11"/>
    </row>
    <row r="189" spans="2:11" x14ac:dyDescent="0.35">
      <c r="B189" s="37">
        <v>630</v>
      </c>
      <c r="C189" s="125" t="s">
        <v>20</v>
      </c>
      <c r="D189" s="125"/>
      <c r="E189" s="125"/>
      <c r="F189" s="125"/>
      <c r="G189" s="125"/>
      <c r="H189" s="30">
        <v>647200</v>
      </c>
      <c r="I189" s="30"/>
      <c r="J189" s="13" t="s">
        <v>182</v>
      </c>
      <c r="K189" s="11"/>
    </row>
    <row r="190" spans="2:11" x14ac:dyDescent="0.35">
      <c r="B190" s="37">
        <v>411</v>
      </c>
      <c r="C190" s="125" t="s">
        <v>179</v>
      </c>
      <c r="D190" s="125"/>
      <c r="E190" s="125"/>
      <c r="F190" s="125"/>
      <c r="G190" s="125"/>
      <c r="H190" s="30">
        <v>34800</v>
      </c>
      <c r="I190" s="30"/>
      <c r="J190" s="13" t="s">
        <v>184</v>
      </c>
      <c r="K190" s="11"/>
    </row>
    <row r="191" spans="2:11" x14ac:dyDescent="0.35">
      <c r="B191" s="31" t="s">
        <v>178</v>
      </c>
      <c r="C191" s="125" t="s">
        <v>180</v>
      </c>
      <c r="D191" s="125"/>
      <c r="E191" s="125"/>
      <c r="F191" s="125"/>
      <c r="G191" s="125"/>
      <c r="H191" s="30"/>
      <c r="I191" s="30">
        <f>H189+H190</f>
        <v>682000</v>
      </c>
      <c r="J191" s="13"/>
      <c r="K191" s="11"/>
    </row>
    <row r="192" spans="2:11" x14ac:dyDescent="0.35">
      <c r="B192" s="31"/>
      <c r="C192" s="13"/>
      <c r="D192" s="13"/>
      <c r="E192" s="13"/>
      <c r="F192" s="13"/>
      <c r="G192" s="13"/>
      <c r="H192" s="13"/>
      <c r="I192" s="13"/>
      <c r="J192" s="13"/>
      <c r="K192" s="11"/>
    </row>
    <row r="193" spans="1:11" x14ac:dyDescent="0.35">
      <c r="B193" s="147" t="s">
        <v>185</v>
      </c>
      <c r="C193" s="148"/>
      <c r="D193" s="13"/>
      <c r="E193" s="13"/>
      <c r="F193" s="13"/>
      <c r="G193" s="13"/>
      <c r="H193" s="13" t="s">
        <v>183</v>
      </c>
      <c r="I193" s="13"/>
      <c r="J193" s="13"/>
      <c r="K193" s="11"/>
    </row>
    <row r="194" spans="1:11" x14ac:dyDescent="0.35">
      <c r="B194" s="45"/>
      <c r="C194" s="46" t="s">
        <v>39</v>
      </c>
      <c r="D194" s="46"/>
      <c r="E194" s="46"/>
      <c r="F194" s="46"/>
      <c r="G194" s="46"/>
      <c r="H194" s="46" t="s">
        <v>37</v>
      </c>
      <c r="I194" s="46" t="s">
        <v>38</v>
      </c>
      <c r="J194" s="46" t="s">
        <v>326</v>
      </c>
      <c r="K194" s="11"/>
    </row>
    <row r="195" spans="1:11" x14ac:dyDescent="0.35">
      <c r="B195" s="37">
        <v>600</v>
      </c>
      <c r="C195" s="125" t="s">
        <v>15</v>
      </c>
      <c r="D195" s="125"/>
      <c r="E195" s="125"/>
      <c r="F195" s="125"/>
      <c r="G195" s="125"/>
      <c r="H195" s="30">
        <v>83600</v>
      </c>
      <c r="I195" s="30"/>
      <c r="J195" s="13" t="s">
        <v>187</v>
      </c>
      <c r="K195" s="11"/>
    </row>
    <row r="196" spans="1:11" x14ac:dyDescent="0.35">
      <c r="B196" s="31" t="s">
        <v>186</v>
      </c>
      <c r="C196" s="125" t="s">
        <v>176</v>
      </c>
      <c r="D196" s="125"/>
      <c r="E196" s="125"/>
      <c r="F196" s="125"/>
      <c r="G196" s="125"/>
      <c r="H196" s="30"/>
      <c r="I196" s="30">
        <f>H195</f>
        <v>83600</v>
      </c>
      <c r="J196" s="13"/>
      <c r="K196" s="11"/>
    </row>
    <row r="197" spans="1:11" x14ac:dyDescent="0.35">
      <c r="B197" s="31"/>
      <c r="C197" s="13"/>
      <c r="D197" s="13"/>
      <c r="E197" s="13"/>
      <c r="F197" s="13" t="s">
        <v>183</v>
      </c>
      <c r="G197" s="13"/>
      <c r="H197" s="13"/>
      <c r="I197" s="13"/>
      <c r="J197" s="13"/>
      <c r="K197" s="11"/>
    </row>
    <row r="198" spans="1:11" x14ac:dyDescent="0.35">
      <c r="B198" s="147" t="s">
        <v>188</v>
      </c>
      <c r="C198" s="148"/>
      <c r="D198" s="13"/>
      <c r="E198" s="13"/>
      <c r="F198" s="13"/>
      <c r="G198" s="13"/>
      <c r="H198" s="13"/>
      <c r="I198" s="13"/>
      <c r="J198" s="13"/>
      <c r="K198" s="11"/>
    </row>
    <row r="199" spans="1:11" x14ac:dyDescent="0.35">
      <c r="B199" s="45"/>
      <c r="C199" s="46" t="s">
        <v>39</v>
      </c>
      <c r="D199" s="46"/>
      <c r="E199" s="46"/>
      <c r="F199" s="46"/>
      <c r="G199" s="46"/>
      <c r="H199" s="46" t="s">
        <v>37</v>
      </c>
      <c r="I199" s="46" t="s">
        <v>38</v>
      </c>
      <c r="J199" s="46" t="s">
        <v>326</v>
      </c>
      <c r="K199" s="11"/>
    </row>
    <row r="200" spans="1:11" x14ac:dyDescent="0.35">
      <c r="A200" s="1"/>
      <c r="B200" s="37">
        <v>500</v>
      </c>
      <c r="C200" s="125" t="s">
        <v>190</v>
      </c>
      <c r="D200" s="125"/>
      <c r="E200" s="125"/>
      <c r="F200" s="125"/>
      <c r="G200" s="125"/>
      <c r="H200" s="30">
        <v>137600</v>
      </c>
      <c r="I200" s="30"/>
      <c r="J200" s="13"/>
      <c r="K200" s="11"/>
    </row>
    <row r="201" spans="1:11" x14ac:dyDescent="0.35">
      <c r="B201" s="37">
        <v>520</v>
      </c>
      <c r="C201" s="125" t="s">
        <v>189</v>
      </c>
      <c r="D201" s="125"/>
      <c r="E201" s="125"/>
      <c r="F201" s="125"/>
      <c r="G201" s="125"/>
      <c r="H201" s="30">
        <v>22000</v>
      </c>
      <c r="I201" s="30"/>
      <c r="J201" s="13"/>
      <c r="K201" s="11"/>
    </row>
    <row r="202" spans="1:11" x14ac:dyDescent="0.35">
      <c r="B202" s="37">
        <v>550</v>
      </c>
      <c r="C202" s="125" t="s">
        <v>191</v>
      </c>
      <c r="D202" s="125"/>
      <c r="E202" s="125"/>
      <c r="F202" s="125"/>
      <c r="G202" s="125"/>
      <c r="H202" s="30">
        <v>90200</v>
      </c>
      <c r="I202" s="30"/>
      <c r="J202" s="13"/>
      <c r="K202" s="11"/>
    </row>
    <row r="203" spans="1:11" x14ac:dyDescent="0.35">
      <c r="B203" s="37">
        <v>560</v>
      </c>
      <c r="C203" s="125" t="s">
        <v>192</v>
      </c>
      <c r="D203" s="125"/>
      <c r="E203" s="125"/>
      <c r="F203" s="125"/>
      <c r="G203" s="125"/>
      <c r="H203" s="30">
        <v>29750</v>
      </c>
      <c r="I203" s="30"/>
      <c r="J203" s="13"/>
      <c r="K203" s="11"/>
    </row>
    <row r="204" spans="1:11" x14ac:dyDescent="0.35">
      <c r="B204" s="31" t="s">
        <v>100</v>
      </c>
      <c r="C204" s="125" t="s">
        <v>3</v>
      </c>
      <c r="D204" s="125"/>
      <c r="E204" s="125"/>
      <c r="F204" s="125"/>
      <c r="G204" s="125"/>
      <c r="H204" s="30"/>
      <c r="I204" s="30">
        <f>H200+H201+H202+H203</f>
        <v>279550</v>
      </c>
      <c r="J204" s="13"/>
      <c r="K204" s="11"/>
    </row>
    <row r="205" spans="1:11" x14ac:dyDescent="0.35">
      <c r="B205" s="31"/>
      <c r="C205" s="13"/>
      <c r="D205" s="13"/>
      <c r="E205" s="13"/>
      <c r="F205" s="13"/>
      <c r="G205" s="13"/>
      <c r="H205" s="13"/>
      <c r="I205" s="13"/>
      <c r="J205" s="13"/>
      <c r="K205" s="11"/>
    </row>
    <row r="206" spans="1:11" x14ac:dyDescent="0.35">
      <c r="B206" s="147" t="s">
        <v>193</v>
      </c>
      <c r="C206" s="148"/>
      <c r="D206" s="13"/>
      <c r="E206" s="13"/>
      <c r="F206" s="13"/>
      <c r="G206" s="13"/>
      <c r="H206" s="13"/>
      <c r="I206" s="13"/>
      <c r="J206" s="13"/>
      <c r="K206" s="11"/>
    </row>
    <row r="207" spans="1:11" x14ac:dyDescent="0.35">
      <c r="B207" s="45"/>
      <c r="C207" s="46" t="s">
        <v>39</v>
      </c>
      <c r="D207" s="46"/>
      <c r="E207" s="46"/>
      <c r="F207" s="46"/>
      <c r="G207" s="46"/>
      <c r="H207" s="46" t="s">
        <v>37</v>
      </c>
      <c r="I207" s="46" t="s">
        <v>38</v>
      </c>
      <c r="J207" s="46" t="s">
        <v>326</v>
      </c>
      <c r="K207" s="11"/>
    </row>
    <row r="208" spans="1:11" x14ac:dyDescent="0.35">
      <c r="B208" s="147" t="s">
        <v>194</v>
      </c>
      <c r="C208" s="148"/>
      <c r="D208" s="13"/>
      <c r="E208" s="13"/>
      <c r="F208" s="13"/>
      <c r="G208" s="13"/>
      <c r="H208" s="13"/>
      <c r="I208" s="13"/>
      <c r="J208" s="13"/>
      <c r="K208" s="11"/>
    </row>
    <row r="209" spans="2:11" x14ac:dyDescent="0.35">
      <c r="B209" s="37">
        <v>520</v>
      </c>
      <c r="C209" s="125" t="s">
        <v>189</v>
      </c>
      <c r="D209" s="125"/>
      <c r="E209" s="125"/>
      <c r="F209" s="125"/>
      <c r="G209" s="125"/>
      <c r="H209" s="30">
        <v>33750</v>
      </c>
      <c r="I209" s="30"/>
      <c r="J209" s="13" t="s">
        <v>196</v>
      </c>
      <c r="K209" s="11"/>
    </row>
    <row r="210" spans="2:11" x14ac:dyDescent="0.35">
      <c r="B210" s="37">
        <v>550</v>
      </c>
      <c r="C210" s="125" t="s">
        <v>191</v>
      </c>
      <c r="D210" s="125"/>
      <c r="E210" s="125"/>
      <c r="F210" s="125"/>
      <c r="G210" s="125"/>
      <c r="H210" s="30">
        <v>93750</v>
      </c>
      <c r="I210" s="30"/>
      <c r="J210" s="13" t="s">
        <v>197</v>
      </c>
      <c r="K210" s="11"/>
    </row>
    <row r="211" spans="2:11" x14ac:dyDescent="0.35">
      <c r="B211" s="37">
        <v>560</v>
      </c>
      <c r="C211" s="125" t="s">
        <v>192</v>
      </c>
      <c r="D211" s="125"/>
      <c r="E211" s="125"/>
      <c r="F211" s="125"/>
      <c r="G211" s="125"/>
      <c r="H211" s="30">
        <v>22500</v>
      </c>
      <c r="I211" s="30"/>
      <c r="J211" s="13" t="s">
        <v>198</v>
      </c>
      <c r="K211" s="11"/>
    </row>
    <row r="212" spans="2:11" x14ac:dyDescent="0.35">
      <c r="B212" s="31" t="s">
        <v>45</v>
      </c>
      <c r="C212" s="125" t="s">
        <v>195</v>
      </c>
      <c r="D212" s="125"/>
      <c r="E212" s="125"/>
      <c r="F212" s="125"/>
      <c r="G212" s="125"/>
      <c r="H212" s="30"/>
      <c r="I212" s="30">
        <f>H209+H210+H211</f>
        <v>150000</v>
      </c>
      <c r="J212" s="13"/>
      <c r="K212" s="11"/>
    </row>
    <row r="213" spans="2:11" x14ac:dyDescent="0.35">
      <c r="B213" s="31"/>
      <c r="C213" s="13"/>
      <c r="D213" s="13"/>
      <c r="E213" s="13"/>
      <c r="F213" s="13"/>
      <c r="G213" s="13"/>
      <c r="H213" s="13"/>
      <c r="I213" s="13"/>
      <c r="J213" s="13"/>
      <c r="K213" s="11"/>
    </row>
    <row r="214" spans="2:11" x14ac:dyDescent="0.35">
      <c r="B214" s="147" t="s">
        <v>199</v>
      </c>
      <c r="C214" s="148"/>
      <c r="D214" s="13"/>
      <c r="E214" s="13"/>
      <c r="F214" s="13"/>
      <c r="G214" s="13"/>
      <c r="H214" s="13"/>
      <c r="I214" s="13"/>
      <c r="J214" s="13"/>
      <c r="K214" s="11"/>
    </row>
    <row r="215" spans="2:11" x14ac:dyDescent="0.35">
      <c r="B215" s="37">
        <v>550</v>
      </c>
      <c r="C215" s="125" t="s">
        <v>191</v>
      </c>
      <c r="D215" s="125"/>
      <c r="E215" s="125"/>
      <c r="F215" s="125"/>
      <c r="G215" s="125"/>
      <c r="H215" s="30">
        <v>42840</v>
      </c>
      <c r="I215" s="30"/>
      <c r="J215" s="13" t="s">
        <v>201</v>
      </c>
      <c r="K215" s="11"/>
    </row>
    <row r="216" spans="2:11" x14ac:dyDescent="0.35">
      <c r="B216" s="37">
        <v>560</v>
      </c>
      <c r="C216" s="125" t="s">
        <v>192</v>
      </c>
      <c r="D216" s="125"/>
      <c r="E216" s="125"/>
      <c r="F216" s="125"/>
      <c r="G216" s="125"/>
      <c r="H216" s="30">
        <v>4760</v>
      </c>
      <c r="I216" s="30"/>
      <c r="J216" s="13" t="s">
        <v>202</v>
      </c>
      <c r="K216" s="11"/>
    </row>
    <row r="217" spans="2:11" x14ac:dyDescent="0.35">
      <c r="B217" s="31" t="s">
        <v>127</v>
      </c>
      <c r="C217" s="125" t="s">
        <v>200</v>
      </c>
      <c r="D217" s="125"/>
      <c r="E217" s="125"/>
      <c r="F217" s="125"/>
      <c r="G217" s="125"/>
      <c r="H217" s="30"/>
      <c r="I217" s="30">
        <f>H215+H216</f>
        <v>47600</v>
      </c>
      <c r="J217" s="13"/>
      <c r="K217" s="11"/>
    </row>
    <row r="218" spans="2:11" x14ac:dyDescent="0.35">
      <c r="B218" s="31"/>
      <c r="C218" s="13"/>
      <c r="D218" s="13"/>
      <c r="E218" s="13"/>
      <c r="F218" s="13"/>
      <c r="G218" s="13"/>
      <c r="H218" s="13"/>
      <c r="I218" s="13"/>
      <c r="J218" s="13"/>
      <c r="K218" s="11"/>
    </row>
    <row r="219" spans="2:11" x14ac:dyDescent="0.35">
      <c r="B219" s="45" t="s">
        <v>203</v>
      </c>
      <c r="C219" s="46"/>
      <c r="D219" s="13"/>
      <c r="E219" s="13"/>
      <c r="F219" s="13"/>
      <c r="G219" s="13"/>
      <c r="H219" s="13"/>
      <c r="I219" s="13"/>
      <c r="J219" s="13"/>
      <c r="K219" s="11"/>
    </row>
    <row r="220" spans="2:11" x14ac:dyDescent="0.35">
      <c r="B220" s="45"/>
      <c r="C220" s="46" t="s">
        <v>39</v>
      </c>
      <c r="D220" s="46"/>
      <c r="E220" s="46"/>
      <c r="F220" s="46"/>
      <c r="G220" s="46"/>
      <c r="H220" s="46" t="s">
        <v>37</v>
      </c>
      <c r="I220" s="46" t="s">
        <v>38</v>
      </c>
      <c r="J220" s="46" t="s">
        <v>326</v>
      </c>
      <c r="K220" s="11"/>
    </row>
    <row r="221" spans="2:11" x14ac:dyDescent="0.35">
      <c r="B221" s="37">
        <v>601</v>
      </c>
      <c r="C221" s="125" t="s">
        <v>16</v>
      </c>
      <c r="D221" s="125"/>
      <c r="E221" s="125"/>
      <c r="F221" s="125"/>
      <c r="G221" s="125"/>
      <c r="H221" s="30">
        <v>636300</v>
      </c>
      <c r="I221" s="30"/>
      <c r="J221" s="13" t="s">
        <v>206</v>
      </c>
      <c r="K221" s="11"/>
    </row>
    <row r="222" spans="2:11" x14ac:dyDescent="0.35">
      <c r="B222" s="31" t="s">
        <v>204</v>
      </c>
      <c r="C222" s="125" t="s">
        <v>205</v>
      </c>
      <c r="D222" s="125"/>
      <c r="E222" s="125"/>
      <c r="F222" s="125"/>
      <c r="G222" s="125"/>
      <c r="H222" s="30"/>
      <c r="I222" s="30">
        <f>H221</f>
        <v>636300</v>
      </c>
      <c r="J222" s="13"/>
      <c r="K222" s="11"/>
    </row>
    <row r="223" spans="2:11" x14ac:dyDescent="0.35">
      <c r="B223" s="31"/>
      <c r="C223" s="13"/>
      <c r="D223" s="13"/>
      <c r="E223" s="13"/>
      <c r="F223" s="13"/>
      <c r="G223" s="13"/>
      <c r="H223" s="13"/>
      <c r="I223" s="13"/>
      <c r="J223" s="13"/>
      <c r="K223" s="11"/>
    </row>
    <row r="224" spans="2:11" x14ac:dyDescent="0.35">
      <c r="B224" s="147" t="s">
        <v>207</v>
      </c>
      <c r="C224" s="148"/>
      <c r="D224" s="13"/>
      <c r="E224" s="13"/>
      <c r="F224" s="13"/>
      <c r="G224" s="13"/>
      <c r="H224" s="13"/>
      <c r="I224" s="13"/>
      <c r="J224" s="13"/>
      <c r="K224" s="11"/>
    </row>
    <row r="225" spans="2:11" x14ac:dyDescent="0.35">
      <c r="B225" s="45"/>
      <c r="C225" s="46" t="s">
        <v>39</v>
      </c>
      <c r="D225" s="46"/>
      <c r="E225" s="46"/>
      <c r="F225" s="46"/>
      <c r="G225" s="46"/>
      <c r="H225" s="46" t="s">
        <v>37</v>
      </c>
      <c r="I225" s="46" t="s">
        <v>38</v>
      </c>
      <c r="J225" s="46" t="s">
        <v>326</v>
      </c>
      <c r="K225" s="11"/>
    </row>
    <row r="226" spans="2:11" x14ac:dyDescent="0.35">
      <c r="B226" s="37">
        <v>602</v>
      </c>
      <c r="C226" s="125" t="s">
        <v>17</v>
      </c>
      <c r="D226" s="125"/>
      <c r="E226" s="125"/>
      <c r="F226" s="125"/>
      <c r="G226" s="125"/>
      <c r="H226" s="30">
        <v>180320</v>
      </c>
      <c r="I226" s="30"/>
      <c r="J226" s="13" t="s">
        <v>209</v>
      </c>
      <c r="K226" s="11"/>
    </row>
    <row r="227" spans="2:11" x14ac:dyDescent="0.35">
      <c r="B227" s="31" t="s">
        <v>72</v>
      </c>
      <c r="C227" s="125" t="s">
        <v>208</v>
      </c>
      <c r="D227" s="125"/>
      <c r="E227" s="125"/>
      <c r="F227" s="125"/>
      <c r="G227" s="125"/>
      <c r="H227" s="30"/>
      <c r="I227" s="30">
        <f>H226</f>
        <v>180320</v>
      </c>
      <c r="J227" s="13"/>
      <c r="K227" s="11"/>
    </row>
    <row r="228" spans="2:11" x14ac:dyDescent="0.35">
      <c r="B228" s="31"/>
      <c r="C228" s="13"/>
      <c r="D228" s="13"/>
      <c r="E228" s="13"/>
      <c r="F228" s="13"/>
      <c r="G228" s="13"/>
      <c r="H228" s="13"/>
      <c r="I228" s="13"/>
      <c r="J228" s="13"/>
      <c r="K228" s="11"/>
    </row>
    <row r="229" spans="2:11" x14ac:dyDescent="0.35">
      <c r="B229" s="147" t="s">
        <v>210</v>
      </c>
      <c r="C229" s="148"/>
      <c r="D229" s="13"/>
      <c r="E229" s="13"/>
      <c r="F229" s="13"/>
      <c r="G229" s="13"/>
      <c r="H229" s="13"/>
      <c r="I229" s="13"/>
      <c r="J229" s="13"/>
      <c r="K229" s="11"/>
    </row>
    <row r="230" spans="2:11" x14ac:dyDescent="0.35">
      <c r="B230" s="45"/>
      <c r="C230" s="46" t="s">
        <v>39</v>
      </c>
      <c r="D230" s="46"/>
      <c r="E230" s="46"/>
      <c r="F230" s="46"/>
      <c r="G230" s="46"/>
      <c r="H230" s="46" t="s">
        <v>37</v>
      </c>
      <c r="I230" s="46" t="s">
        <v>38</v>
      </c>
      <c r="J230" s="46" t="s">
        <v>326</v>
      </c>
      <c r="K230" s="11"/>
    </row>
    <row r="231" spans="2:11" x14ac:dyDescent="0.35">
      <c r="B231" s="37">
        <v>700</v>
      </c>
      <c r="C231" s="125" t="s">
        <v>214</v>
      </c>
      <c r="D231" s="125"/>
      <c r="E231" s="125"/>
      <c r="F231" s="125"/>
      <c r="G231" s="125"/>
      <c r="H231" s="30">
        <f>I232+I233+I234</f>
        <v>901520</v>
      </c>
      <c r="I231" s="30"/>
      <c r="J231" s="13"/>
      <c r="K231" s="11"/>
    </row>
    <row r="232" spans="2:11" x14ac:dyDescent="0.35">
      <c r="B232" s="31" t="s">
        <v>211</v>
      </c>
      <c r="C232" s="125" t="s">
        <v>18</v>
      </c>
      <c r="D232" s="125"/>
      <c r="E232" s="125"/>
      <c r="F232" s="125"/>
      <c r="G232" s="125"/>
      <c r="H232" s="30"/>
      <c r="I232" s="30">
        <v>84040</v>
      </c>
      <c r="J232" s="13" t="s">
        <v>224</v>
      </c>
      <c r="K232" s="11"/>
    </row>
    <row r="233" spans="2:11" x14ac:dyDescent="0.35">
      <c r="B233" s="31" t="s">
        <v>213</v>
      </c>
      <c r="C233" s="125" t="s">
        <v>19</v>
      </c>
      <c r="D233" s="125"/>
      <c r="E233" s="125"/>
      <c r="F233" s="125"/>
      <c r="G233" s="125"/>
      <c r="H233" s="30"/>
      <c r="I233" s="30">
        <v>641760</v>
      </c>
      <c r="J233" s="13" t="s">
        <v>225</v>
      </c>
      <c r="K233" s="11"/>
    </row>
    <row r="234" spans="2:11" x14ac:dyDescent="0.35">
      <c r="B234" s="31" t="s">
        <v>212</v>
      </c>
      <c r="C234" s="125" t="s">
        <v>215</v>
      </c>
      <c r="D234" s="125"/>
      <c r="E234" s="125"/>
      <c r="F234" s="125"/>
      <c r="G234" s="125"/>
      <c r="H234" s="30"/>
      <c r="I234" s="30">
        <v>175720</v>
      </c>
      <c r="J234" s="13" t="s">
        <v>226</v>
      </c>
      <c r="K234" s="11"/>
    </row>
    <row r="235" spans="2:11" x14ac:dyDescent="0.35">
      <c r="B235" s="31"/>
      <c r="C235" s="13"/>
      <c r="D235" s="13"/>
      <c r="E235" s="13"/>
      <c r="F235" s="13"/>
      <c r="G235" s="13"/>
      <c r="H235" s="13"/>
      <c r="I235" s="13"/>
      <c r="J235" s="13"/>
      <c r="K235" s="11"/>
    </row>
    <row r="236" spans="2:11" x14ac:dyDescent="0.35">
      <c r="B236" s="147" t="s">
        <v>216</v>
      </c>
      <c r="C236" s="148"/>
      <c r="D236" s="13"/>
      <c r="E236" s="13"/>
      <c r="F236" s="13"/>
      <c r="G236" s="13"/>
      <c r="H236" s="13"/>
      <c r="I236" s="13"/>
      <c r="J236" s="13"/>
      <c r="K236" s="11"/>
    </row>
    <row r="237" spans="2:11" x14ac:dyDescent="0.35">
      <c r="B237" s="45"/>
      <c r="C237" s="46" t="s">
        <v>39</v>
      </c>
      <c r="D237" s="46"/>
      <c r="E237" s="46"/>
      <c r="F237" s="46"/>
      <c r="G237" s="46"/>
      <c r="H237" s="46" t="s">
        <v>37</v>
      </c>
      <c r="I237" s="46" t="s">
        <v>38</v>
      </c>
      <c r="J237" s="46" t="s">
        <v>326</v>
      </c>
      <c r="K237" s="11"/>
    </row>
    <row r="238" spans="2:11" x14ac:dyDescent="0.35">
      <c r="B238" s="37">
        <v>130</v>
      </c>
      <c r="C238" s="125" t="s">
        <v>1</v>
      </c>
      <c r="D238" s="125"/>
      <c r="E238" s="125"/>
      <c r="F238" s="125"/>
      <c r="G238" s="125"/>
      <c r="H238" s="30">
        <f>I240+I239</f>
        <v>1452000</v>
      </c>
      <c r="I238" s="30"/>
      <c r="J238" s="13"/>
      <c r="K238" s="11"/>
    </row>
    <row r="239" spans="2:11" x14ac:dyDescent="0.35">
      <c r="B239" s="37" t="s">
        <v>217</v>
      </c>
      <c r="C239" s="125" t="s">
        <v>2</v>
      </c>
      <c r="D239" s="125"/>
      <c r="E239" s="125"/>
      <c r="F239" s="125"/>
      <c r="G239" s="125"/>
      <c r="H239" s="30"/>
      <c r="I239" s="30">
        <v>252000</v>
      </c>
      <c r="J239" s="13" t="s">
        <v>227</v>
      </c>
      <c r="K239" s="11"/>
    </row>
    <row r="240" spans="2:11" x14ac:dyDescent="0.35">
      <c r="B240" s="37" t="s">
        <v>218</v>
      </c>
      <c r="C240" s="125" t="s">
        <v>221</v>
      </c>
      <c r="D240" s="125"/>
      <c r="E240" s="125"/>
      <c r="F240" s="125"/>
      <c r="G240" s="125"/>
      <c r="H240" s="30"/>
      <c r="I240" s="30">
        <v>1200000</v>
      </c>
      <c r="J240" s="13" t="s">
        <v>228</v>
      </c>
      <c r="K240" s="11"/>
    </row>
    <row r="241" spans="2:11" x14ac:dyDescent="0.35">
      <c r="B241" s="158" t="s">
        <v>33</v>
      </c>
      <c r="C241" s="159"/>
      <c r="D241" s="159"/>
      <c r="E241" s="159"/>
      <c r="F241" s="159"/>
      <c r="G241" s="159"/>
      <c r="H241" s="30"/>
      <c r="I241" s="30"/>
      <c r="J241" s="13"/>
      <c r="K241" s="11"/>
    </row>
    <row r="242" spans="2:11" x14ac:dyDescent="0.35">
      <c r="B242" s="37">
        <v>800</v>
      </c>
      <c r="C242" s="125" t="s">
        <v>24</v>
      </c>
      <c r="D242" s="125"/>
      <c r="E242" s="125"/>
      <c r="F242" s="125"/>
      <c r="G242" s="125"/>
      <c r="H242" s="30">
        <v>944000</v>
      </c>
      <c r="I242" s="30"/>
      <c r="J242" s="13" t="s">
        <v>229</v>
      </c>
      <c r="K242" s="11"/>
    </row>
    <row r="243" spans="2:11" x14ac:dyDescent="0.35">
      <c r="B243" s="37" t="s">
        <v>219</v>
      </c>
      <c r="C243" s="125" t="s">
        <v>329</v>
      </c>
      <c r="D243" s="125"/>
      <c r="E243" s="125"/>
      <c r="F243" s="125"/>
      <c r="G243" s="125"/>
      <c r="H243" s="30"/>
      <c r="I243" s="30">
        <f>H242</f>
        <v>944000</v>
      </c>
      <c r="J243" s="13"/>
      <c r="K243" s="11"/>
    </row>
    <row r="244" spans="2:11" x14ac:dyDescent="0.35">
      <c r="B244" s="158" t="s">
        <v>33</v>
      </c>
      <c r="C244" s="159"/>
      <c r="D244" s="159"/>
      <c r="E244" s="159"/>
      <c r="F244" s="159"/>
      <c r="G244" s="159"/>
      <c r="H244" s="30"/>
      <c r="I244" s="30"/>
      <c r="J244" s="13"/>
      <c r="K244" s="11"/>
    </row>
    <row r="245" spans="2:11" x14ac:dyDescent="0.35">
      <c r="B245" s="37">
        <v>820</v>
      </c>
      <c r="C245" s="125" t="s">
        <v>222</v>
      </c>
      <c r="D245" s="125"/>
      <c r="E245" s="125"/>
      <c r="F245" s="125"/>
      <c r="G245" s="125"/>
      <c r="H245" s="30">
        <v>48000</v>
      </c>
      <c r="I245" s="30"/>
      <c r="J245" s="13" t="s">
        <v>230</v>
      </c>
      <c r="K245" s="11"/>
    </row>
    <row r="246" spans="2:11" x14ac:dyDescent="0.35">
      <c r="B246" s="37" t="s">
        <v>220</v>
      </c>
      <c r="C246" s="125" t="s">
        <v>223</v>
      </c>
      <c r="D246" s="125"/>
      <c r="E246" s="125"/>
      <c r="F246" s="125"/>
      <c r="G246" s="125"/>
      <c r="H246" s="30"/>
      <c r="I246" s="30">
        <v>48000</v>
      </c>
      <c r="J246" s="13"/>
      <c r="K246" s="11"/>
    </row>
    <row r="247" spans="2:11" x14ac:dyDescent="0.35">
      <c r="B247" s="31"/>
      <c r="C247" s="13"/>
      <c r="D247" s="13"/>
      <c r="E247" s="13"/>
      <c r="F247" s="13"/>
      <c r="G247" s="13"/>
      <c r="H247" s="13"/>
      <c r="I247" s="13"/>
      <c r="J247" s="13"/>
      <c r="K247" s="11"/>
    </row>
    <row r="248" spans="2:11" x14ac:dyDescent="0.35">
      <c r="B248" s="147" t="s">
        <v>231</v>
      </c>
      <c r="C248" s="148"/>
      <c r="D248" s="13"/>
      <c r="E248" s="13"/>
      <c r="F248" s="13"/>
      <c r="G248" s="13"/>
      <c r="H248" s="13"/>
      <c r="I248" s="13"/>
      <c r="J248" s="13"/>
      <c r="K248" s="11"/>
    </row>
    <row r="249" spans="2:11" x14ac:dyDescent="0.35">
      <c r="B249" s="45"/>
      <c r="C249" s="46" t="s">
        <v>39</v>
      </c>
      <c r="D249" s="46"/>
      <c r="E249" s="46"/>
      <c r="F249" s="46"/>
      <c r="G249" s="46"/>
      <c r="H249" s="46" t="s">
        <v>37</v>
      </c>
      <c r="I249" s="46" t="s">
        <v>38</v>
      </c>
      <c r="J249" s="46" t="s">
        <v>326</v>
      </c>
      <c r="K249" s="11"/>
    </row>
    <row r="250" spans="2:11" x14ac:dyDescent="0.35">
      <c r="B250" s="43" t="s">
        <v>0</v>
      </c>
      <c r="C250" s="13"/>
      <c r="D250" s="13"/>
      <c r="E250" s="13"/>
      <c r="F250" s="13"/>
      <c r="G250" s="13"/>
      <c r="H250" s="13"/>
      <c r="I250" s="13"/>
      <c r="J250" s="13"/>
      <c r="K250" s="11"/>
    </row>
    <row r="251" spans="2:11" x14ac:dyDescent="0.35">
      <c r="B251" s="37">
        <v>502</v>
      </c>
      <c r="C251" s="125" t="s">
        <v>233</v>
      </c>
      <c r="D251" s="125"/>
      <c r="E251" s="125"/>
      <c r="F251" s="125"/>
      <c r="G251" s="125"/>
      <c r="H251" s="30">
        <v>150000</v>
      </c>
      <c r="I251" s="30"/>
      <c r="J251" s="13" t="s">
        <v>241</v>
      </c>
      <c r="K251" s="11"/>
    </row>
    <row r="252" spans="2:11" x14ac:dyDescent="0.35">
      <c r="B252" s="37" t="s">
        <v>43</v>
      </c>
      <c r="C252" s="125" t="s">
        <v>234</v>
      </c>
      <c r="D252" s="125"/>
      <c r="E252" s="125"/>
      <c r="F252" s="125"/>
      <c r="G252" s="125"/>
      <c r="H252" s="30"/>
      <c r="I252" s="30">
        <f>H251</f>
        <v>150000</v>
      </c>
      <c r="J252" s="13"/>
      <c r="K252" s="11"/>
    </row>
    <row r="253" spans="2:11" x14ac:dyDescent="0.35">
      <c r="B253" s="37"/>
      <c r="C253" s="13"/>
      <c r="D253" s="13"/>
      <c r="E253" s="13"/>
      <c r="F253" s="13"/>
      <c r="G253" s="13"/>
      <c r="H253" s="30"/>
      <c r="I253" s="30"/>
      <c r="J253" s="13"/>
      <c r="K253" s="11"/>
    </row>
    <row r="254" spans="2:11" x14ac:dyDescent="0.35">
      <c r="B254" s="37">
        <v>522</v>
      </c>
      <c r="C254" s="125" t="s">
        <v>235</v>
      </c>
      <c r="D254" s="125"/>
      <c r="E254" s="125"/>
      <c r="F254" s="125"/>
      <c r="G254" s="125"/>
      <c r="H254" s="30">
        <v>62000</v>
      </c>
      <c r="I254" s="30"/>
      <c r="J254" s="13" t="s">
        <v>242</v>
      </c>
      <c r="K254" s="11"/>
    </row>
    <row r="255" spans="2:11" x14ac:dyDescent="0.35">
      <c r="B255" s="37" t="s">
        <v>90</v>
      </c>
      <c r="C255" s="125" t="s">
        <v>236</v>
      </c>
      <c r="D255" s="125"/>
      <c r="E255" s="125"/>
      <c r="F255" s="125"/>
      <c r="G255" s="125"/>
      <c r="H255" s="30"/>
      <c r="I255" s="30">
        <f>H254</f>
        <v>62000</v>
      </c>
      <c r="J255" s="13"/>
      <c r="K255" s="11"/>
    </row>
    <row r="256" spans="2:11" x14ac:dyDescent="0.35">
      <c r="B256" s="37"/>
      <c r="C256" s="13"/>
      <c r="D256" s="13"/>
      <c r="E256" s="13"/>
      <c r="F256" s="13"/>
      <c r="G256" s="13"/>
      <c r="H256" s="30"/>
      <c r="I256" s="30"/>
      <c r="J256" s="13"/>
      <c r="K256" s="11"/>
    </row>
    <row r="257" spans="2:11" x14ac:dyDescent="0.35">
      <c r="B257" s="37">
        <v>552</v>
      </c>
      <c r="C257" s="125" t="s">
        <v>237</v>
      </c>
      <c r="D257" s="125"/>
      <c r="E257" s="125"/>
      <c r="F257" s="125"/>
      <c r="G257" s="125"/>
      <c r="H257" s="30">
        <v>213800</v>
      </c>
      <c r="I257" s="30"/>
      <c r="J257" s="13" t="s">
        <v>243</v>
      </c>
      <c r="K257" s="11"/>
    </row>
    <row r="258" spans="2:11" x14ac:dyDescent="0.35">
      <c r="B258" s="37" t="s">
        <v>70</v>
      </c>
      <c r="C258" s="125" t="s">
        <v>238</v>
      </c>
      <c r="D258" s="125"/>
      <c r="E258" s="125"/>
      <c r="F258" s="125"/>
      <c r="G258" s="125"/>
      <c r="H258" s="30"/>
      <c r="I258" s="30">
        <f>H257</f>
        <v>213800</v>
      </c>
      <c r="J258" s="13"/>
      <c r="K258" s="11"/>
    </row>
    <row r="259" spans="2:11" x14ac:dyDescent="0.35">
      <c r="B259" s="37"/>
      <c r="C259" s="13"/>
      <c r="D259" s="13"/>
      <c r="E259" s="13"/>
      <c r="F259" s="13"/>
      <c r="G259" s="13"/>
      <c r="H259" s="30"/>
      <c r="I259" s="30"/>
      <c r="J259" s="13"/>
      <c r="K259" s="11"/>
    </row>
    <row r="260" spans="2:11" x14ac:dyDescent="0.35">
      <c r="B260" s="37">
        <v>562</v>
      </c>
      <c r="C260" s="125" t="s">
        <v>239</v>
      </c>
      <c r="D260" s="125"/>
      <c r="E260" s="125"/>
      <c r="F260" s="125"/>
      <c r="G260" s="125"/>
      <c r="H260" s="30">
        <v>64500</v>
      </c>
      <c r="I260" s="30"/>
      <c r="J260" s="13" t="s">
        <v>244</v>
      </c>
      <c r="K260" s="11"/>
    </row>
    <row r="261" spans="2:11" x14ac:dyDescent="0.35">
      <c r="B261" s="37" t="s">
        <v>232</v>
      </c>
      <c r="C261" s="125" t="s">
        <v>240</v>
      </c>
      <c r="D261" s="125"/>
      <c r="E261" s="125"/>
      <c r="F261" s="125"/>
      <c r="G261" s="125"/>
      <c r="H261" s="30"/>
      <c r="I261" s="30">
        <f>H260</f>
        <v>64500</v>
      </c>
      <c r="J261" s="13"/>
      <c r="K261" s="11"/>
    </row>
    <row r="262" spans="2:11" x14ac:dyDescent="0.35">
      <c r="B262" s="31"/>
      <c r="C262" s="13"/>
      <c r="D262" s="13"/>
      <c r="E262" s="13"/>
      <c r="F262" s="13"/>
      <c r="G262" s="13"/>
      <c r="H262" s="13"/>
      <c r="I262" s="13"/>
      <c r="J262" s="13"/>
      <c r="K262" s="11"/>
    </row>
    <row r="263" spans="2:11" x14ac:dyDescent="0.35">
      <c r="B263" s="147" t="s">
        <v>149</v>
      </c>
      <c r="C263" s="148"/>
      <c r="D263" s="13"/>
      <c r="E263" s="13"/>
      <c r="F263" s="13"/>
      <c r="G263" s="13"/>
      <c r="H263" s="13"/>
      <c r="I263" s="13"/>
      <c r="J263" s="13"/>
      <c r="K263" s="11"/>
    </row>
    <row r="264" spans="2:11" x14ac:dyDescent="0.35">
      <c r="B264" s="37">
        <v>175</v>
      </c>
      <c r="C264" s="125" t="s">
        <v>149</v>
      </c>
      <c r="D264" s="125"/>
      <c r="E264" s="125"/>
      <c r="F264" s="125"/>
      <c r="G264" s="125"/>
      <c r="H264" s="30">
        <v>11250</v>
      </c>
      <c r="I264" s="30"/>
      <c r="J264" s="13" t="s">
        <v>250</v>
      </c>
      <c r="K264" s="11"/>
    </row>
    <row r="265" spans="2:11" x14ac:dyDescent="0.35">
      <c r="B265" s="37" t="s">
        <v>245</v>
      </c>
      <c r="C265" s="125" t="s">
        <v>247</v>
      </c>
      <c r="D265" s="125"/>
      <c r="E265" s="125"/>
      <c r="F265" s="125"/>
      <c r="G265" s="125"/>
      <c r="H265" s="30"/>
      <c r="I265" s="30">
        <f>H264</f>
        <v>11250</v>
      </c>
      <c r="J265" s="13"/>
      <c r="K265" s="11"/>
    </row>
    <row r="266" spans="2:11" x14ac:dyDescent="0.35">
      <c r="B266" s="37"/>
      <c r="C266" s="13"/>
      <c r="D266" s="13"/>
      <c r="E266" s="13"/>
      <c r="F266" s="13"/>
      <c r="G266" s="13"/>
      <c r="H266" s="30"/>
      <c r="I266" s="30"/>
      <c r="J266" s="13"/>
      <c r="K266" s="11"/>
    </row>
    <row r="267" spans="2:11" x14ac:dyDescent="0.35">
      <c r="B267" s="37">
        <v>175</v>
      </c>
      <c r="C267" s="125" t="s">
        <v>149</v>
      </c>
      <c r="D267" s="125"/>
      <c r="E267" s="125"/>
      <c r="F267" s="125"/>
      <c r="G267" s="125"/>
      <c r="H267" s="30">
        <v>38750</v>
      </c>
      <c r="I267" s="30"/>
      <c r="J267" s="13" t="s">
        <v>251</v>
      </c>
      <c r="K267" s="11"/>
    </row>
    <row r="268" spans="2:11" x14ac:dyDescent="0.35">
      <c r="B268" s="37" t="s">
        <v>131</v>
      </c>
      <c r="C268" s="125" t="s">
        <v>248</v>
      </c>
      <c r="D268" s="125"/>
      <c r="E268" s="125"/>
      <c r="F268" s="125"/>
      <c r="G268" s="125"/>
      <c r="H268" s="30"/>
      <c r="I268" s="30">
        <f>H267</f>
        <v>38750</v>
      </c>
      <c r="J268" s="13"/>
      <c r="K268" s="11"/>
    </row>
    <row r="269" spans="2:11" x14ac:dyDescent="0.35">
      <c r="B269" s="37"/>
      <c r="C269" s="13"/>
      <c r="D269" s="13"/>
      <c r="E269" s="13"/>
      <c r="F269" s="13"/>
      <c r="G269" s="13"/>
      <c r="H269" s="30"/>
      <c r="I269" s="30"/>
      <c r="J269" s="13"/>
      <c r="K269" s="11"/>
    </row>
    <row r="270" spans="2:11" x14ac:dyDescent="0.35">
      <c r="B270" s="37">
        <v>175</v>
      </c>
      <c r="C270" s="125" t="s">
        <v>149</v>
      </c>
      <c r="D270" s="125"/>
      <c r="E270" s="125"/>
      <c r="F270" s="125"/>
      <c r="G270" s="125"/>
      <c r="H270" s="30">
        <v>13125</v>
      </c>
      <c r="I270" s="30"/>
      <c r="J270" s="13" t="s">
        <v>252</v>
      </c>
      <c r="K270" s="11"/>
    </row>
    <row r="271" spans="2:11" x14ac:dyDescent="0.35">
      <c r="B271" s="37" t="s">
        <v>246</v>
      </c>
      <c r="C271" s="125" t="s">
        <v>249</v>
      </c>
      <c r="D271" s="125"/>
      <c r="E271" s="125"/>
      <c r="F271" s="125"/>
      <c r="G271" s="125"/>
      <c r="H271" s="30"/>
      <c r="I271" s="30">
        <f>H270</f>
        <v>13125</v>
      </c>
      <c r="J271" s="13"/>
      <c r="K271" s="11"/>
    </row>
    <row r="272" spans="2:11" x14ac:dyDescent="0.35">
      <c r="B272" s="31"/>
      <c r="C272" s="13"/>
      <c r="D272" s="13"/>
      <c r="E272" s="13"/>
      <c r="F272" s="13"/>
      <c r="G272" s="13"/>
      <c r="H272" s="13"/>
      <c r="I272" s="13"/>
      <c r="J272" s="13"/>
      <c r="K272" s="11"/>
    </row>
    <row r="273" spans="2:11" x14ac:dyDescent="0.35">
      <c r="B273" s="147" t="s">
        <v>253</v>
      </c>
      <c r="C273" s="148"/>
      <c r="D273" s="13"/>
      <c r="E273" s="13"/>
      <c r="F273" s="13"/>
      <c r="G273" s="13"/>
      <c r="H273" s="13"/>
      <c r="I273" s="13"/>
      <c r="J273" s="13"/>
      <c r="K273" s="11"/>
    </row>
    <row r="274" spans="2:11" x14ac:dyDescent="0.35">
      <c r="B274" s="45"/>
      <c r="C274" s="46" t="s">
        <v>39</v>
      </c>
      <c r="D274" s="46"/>
      <c r="E274" s="46"/>
      <c r="F274" s="46"/>
      <c r="G274" s="46"/>
      <c r="H274" s="46" t="s">
        <v>37</v>
      </c>
      <c r="I274" s="46" t="s">
        <v>38</v>
      </c>
      <c r="J274" s="46" t="s">
        <v>326</v>
      </c>
      <c r="K274" s="11"/>
    </row>
    <row r="275" spans="2:11" x14ac:dyDescent="0.35">
      <c r="B275" s="37">
        <v>610</v>
      </c>
      <c r="C275" s="125" t="s">
        <v>18</v>
      </c>
      <c r="D275" s="125"/>
      <c r="E275" s="125"/>
      <c r="F275" s="125"/>
      <c r="G275" s="125"/>
      <c r="H275" s="30">
        <v>550</v>
      </c>
      <c r="I275" s="30"/>
      <c r="J275" s="13" t="s">
        <v>255</v>
      </c>
      <c r="K275" s="11"/>
    </row>
    <row r="276" spans="2:11" x14ac:dyDescent="0.35">
      <c r="B276" s="37">
        <v>611</v>
      </c>
      <c r="C276" s="125" t="s">
        <v>19</v>
      </c>
      <c r="D276" s="125"/>
      <c r="E276" s="125"/>
      <c r="F276" s="125"/>
      <c r="G276" s="125"/>
      <c r="H276" s="30">
        <v>420</v>
      </c>
      <c r="I276" s="30"/>
      <c r="J276" s="13" t="s">
        <v>256</v>
      </c>
      <c r="K276" s="11"/>
    </row>
    <row r="277" spans="2:11" x14ac:dyDescent="0.35">
      <c r="B277" s="37">
        <v>612</v>
      </c>
      <c r="C277" s="125" t="s">
        <v>215</v>
      </c>
      <c r="D277" s="125"/>
      <c r="E277" s="125"/>
      <c r="F277" s="125"/>
      <c r="G277" s="125"/>
      <c r="H277" s="30">
        <v>1100</v>
      </c>
      <c r="I277" s="30"/>
      <c r="J277" s="13" t="s">
        <v>257</v>
      </c>
      <c r="K277" s="11"/>
    </row>
    <row r="278" spans="2:11" x14ac:dyDescent="0.35">
      <c r="B278" s="31" t="s">
        <v>254</v>
      </c>
      <c r="C278" s="125" t="s">
        <v>23</v>
      </c>
      <c r="D278" s="125"/>
      <c r="E278" s="125"/>
      <c r="F278" s="125"/>
      <c r="G278" s="125"/>
      <c r="H278" s="30"/>
      <c r="I278" s="30">
        <f>H277+H276+H275</f>
        <v>2070</v>
      </c>
      <c r="J278" s="13"/>
      <c r="K278" s="11"/>
    </row>
    <row r="279" spans="2:11" x14ac:dyDescent="0.35">
      <c r="B279" s="31"/>
      <c r="C279" s="13"/>
      <c r="D279" s="13"/>
      <c r="E279" s="13"/>
      <c r="F279" s="13"/>
      <c r="G279" s="13"/>
      <c r="H279" s="13"/>
      <c r="I279" s="13"/>
      <c r="J279" s="13"/>
      <c r="K279" s="11"/>
    </row>
    <row r="280" spans="2:11" x14ac:dyDescent="0.35">
      <c r="B280" s="31"/>
      <c r="C280" s="13"/>
      <c r="D280" s="13"/>
      <c r="E280" s="13"/>
      <c r="F280" s="13"/>
      <c r="G280" s="13"/>
      <c r="H280" s="13"/>
      <c r="I280" s="13"/>
      <c r="J280" s="13"/>
      <c r="K280" s="11"/>
    </row>
    <row r="281" spans="2:11" x14ac:dyDescent="0.35">
      <c r="B281" s="31"/>
      <c r="C281" s="13"/>
      <c r="D281" s="13"/>
      <c r="E281" s="13"/>
      <c r="F281" s="13"/>
      <c r="G281" s="13"/>
      <c r="H281" s="13"/>
      <c r="I281" s="13"/>
      <c r="J281" s="13"/>
      <c r="K281" s="11"/>
    </row>
    <row r="282" spans="2:11" x14ac:dyDescent="0.35">
      <c r="B282" s="147" t="s">
        <v>258</v>
      </c>
      <c r="C282" s="148"/>
      <c r="D282" s="13"/>
      <c r="E282" s="13"/>
      <c r="F282" s="13"/>
      <c r="G282" s="13"/>
      <c r="H282" s="13"/>
      <c r="I282" s="74"/>
      <c r="J282" s="13"/>
      <c r="K282" s="11"/>
    </row>
    <row r="283" spans="2:11" x14ac:dyDescent="0.35">
      <c r="B283" s="37">
        <v>550</v>
      </c>
      <c r="C283" s="125" t="s">
        <v>191</v>
      </c>
      <c r="D283" s="125"/>
      <c r="E283" s="125"/>
      <c r="F283" s="41">
        <f>H202+H210+H215</f>
        <v>226790</v>
      </c>
      <c r="G283" s="13"/>
      <c r="H283" s="13"/>
      <c r="I283" s="13"/>
      <c r="J283" s="13"/>
      <c r="K283" s="11"/>
    </row>
    <row r="284" spans="2:11" x14ac:dyDescent="0.35">
      <c r="B284" s="37">
        <v>551</v>
      </c>
      <c r="C284" s="125" t="s">
        <v>238</v>
      </c>
      <c r="D284" s="125"/>
      <c r="E284" s="125"/>
      <c r="F284" s="9">
        <f>I258</f>
        <v>213800</v>
      </c>
      <c r="G284" s="13"/>
      <c r="H284" s="13"/>
      <c r="I284" s="13"/>
      <c r="J284" s="13"/>
      <c r="K284" s="11"/>
    </row>
    <row r="285" spans="2:11" x14ac:dyDescent="0.35">
      <c r="B285" s="156" t="s">
        <v>151</v>
      </c>
      <c r="C285" s="157"/>
      <c r="D285" s="157"/>
      <c r="E285" s="157"/>
      <c r="F285" s="100">
        <f>F283-F284</f>
        <v>12990</v>
      </c>
      <c r="G285" s="74" t="s">
        <v>57</v>
      </c>
      <c r="H285" s="13"/>
      <c r="I285" s="13"/>
      <c r="J285" s="13"/>
      <c r="K285" s="11"/>
    </row>
    <row r="286" spans="2:11" x14ac:dyDescent="0.35">
      <c r="B286" s="37"/>
      <c r="C286" s="13"/>
      <c r="D286" s="13"/>
      <c r="E286" s="13"/>
      <c r="F286" s="13"/>
      <c r="G286" s="13"/>
      <c r="H286" s="13"/>
      <c r="I286" s="13"/>
      <c r="J286" s="13"/>
      <c r="K286" s="11"/>
    </row>
    <row r="287" spans="2:11" x14ac:dyDescent="0.35">
      <c r="B287" s="147" t="s">
        <v>166</v>
      </c>
      <c r="C287" s="148"/>
      <c r="D287" s="13"/>
      <c r="E287" s="13"/>
      <c r="F287" s="13"/>
      <c r="G287" s="13"/>
      <c r="H287" s="13"/>
      <c r="I287" s="13"/>
      <c r="J287" s="13"/>
      <c r="K287" s="11"/>
    </row>
    <row r="288" spans="2:11" x14ac:dyDescent="0.35">
      <c r="B288" s="37">
        <v>560</v>
      </c>
      <c r="C288" s="125" t="s">
        <v>192</v>
      </c>
      <c r="D288" s="125"/>
      <c r="E288" s="125"/>
      <c r="F288" s="41">
        <f>H203+H211+H216</f>
        <v>57010</v>
      </c>
      <c r="G288" s="13"/>
      <c r="H288" s="13"/>
      <c r="I288" s="13"/>
      <c r="J288" s="13"/>
      <c r="K288" s="11"/>
    </row>
    <row r="289" spans="2:11" x14ac:dyDescent="0.35">
      <c r="B289" s="37">
        <v>561</v>
      </c>
      <c r="C289" s="125" t="s">
        <v>240</v>
      </c>
      <c r="D289" s="125"/>
      <c r="E289" s="125"/>
      <c r="F289" s="9">
        <f>I261</f>
        <v>64500</v>
      </c>
      <c r="G289" s="13"/>
      <c r="H289" s="13"/>
      <c r="I289" s="13"/>
      <c r="J289" s="13"/>
      <c r="K289" s="11"/>
    </row>
    <row r="290" spans="2:11" x14ac:dyDescent="0.35">
      <c r="B290" s="156" t="s">
        <v>151</v>
      </c>
      <c r="C290" s="157"/>
      <c r="D290" s="157"/>
      <c r="E290" s="157"/>
      <c r="F290" s="100">
        <f>F289-F288</f>
        <v>7490</v>
      </c>
      <c r="G290" s="74" t="s">
        <v>83</v>
      </c>
      <c r="H290" s="13"/>
      <c r="I290" s="13"/>
      <c r="J290" s="13"/>
      <c r="K290" s="11"/>
    </row>
    <row r="291" spans="2:11" x14ac:dyDescent="0.35">
      <c r="B291" s="37"/>
      <c r="C291" s="13"/>
      <c r="D291" s="13"/>
      <c r="E291" s="13"/>
      <c r="F291" s="13"/>
      <c r="G291" s="13"/>
      <c r="H291" s="13"/>
      <c r="I291" s="13"/>
      <c r="J291" s="13"/>
      <c r="K291" s="11"/>
    </row>
    <row r="292" spans="2:11" x14ac:dyDescent="0.35">
      <c r="B292" s="147" t="s">
        <v>25</v>
      </c>
      <c r="C292" s="148"/>
      <c r="D292" s="13"/>
      <c r="E292" s="13"/>
      <c r="F292" s="13"/>
      <c r="G292" s="13"/>
      <c r="H292" s="13"/>
      <c r="I292" s="13"/>
      <c r="J292" s="13"/>
      <c r="K292" s="11"/>
    </row>
    <row r="293" spans="2:11" x14ac:dyDescent="0.35">
      <c r="B293" s="101" t="s">
        <v>164</v>
      </c>
      <c r="C293" s="13"/>
      <c r="D293" s="13"/>
      <c r="E293" s="13"/>
      <c r="F293" s="13"/>
      <c r="G293" s="13"/>
      <c r="H293" s="13"/>
      <c r="I293" s="13"/>
      <c r="J293" s="13"/>
      <c r="K293" s="11"/>
    </row>
    <row r="294" spans="2:11" x14ac:dyDescent="0.35">
      <c r="B294" s="37">
        <v>522</v>
      </c>
      <c r="C294" s="125" t="s">
        <v>235</v>
      </c>
      <c r="D294" s="125"/>
      <c r="E294" s="125"/>
      <c r="F294" s="41">
        <f>H254-I265</f>
        <v>50750</v>
      </c>
      <c r="G294" s="13" t="s">
        <v>262</v>
      </c>
      <c r="H294" s="13"/>
      <c r="I294" s="13"/>
      <c r="J294" s="13"/>
      <c r="K294" s="11"/>
    </row>
    <row r="295" spans="2:11" x14ac:dyDescent="0.35">
      <c r="B295" s="37">
        <v>523</v>
      </c>
      <c r="C295" s="125" t="s">
        <v>200</v>
      </c>
      <c r="D295" s="125"/>
      <c r="E295" s="125"/>
      <c r="F295" s="9">
        <f>I217</f>
        <v>47600</v>
      </c>
      <c r="G295" s="13"/>
      <c r="H295" s="13"/>
      <c r="I295" s="13"/>
      <c r="J295" s="13"/>
      <c r="K295" s="11"/>
    </row>
    <row r="296" spans="2:11" x14ac:dyDescent="0.35">
      <c r="B296" s="37"/>
      <c r="C296" s="13"/>
      <c r="D296" s="13"/>
      <c r="E296" s="13"/>
      <c r="F296" s="100">
        <f>F294-F295</f>
        <v>3150</v>
      </c>
      <c r="G296" s="74" t="s">
        <v>57</v>
      </c>
      <c r="H296" s="13"/>
      <c r="I296" s="13"/>
      <c r="J296" s="13"/>
      <c r="K296" s="11"/>
    </row>
    <row r="297" spans="2:11" x14ac:dyDescent="0.35">
      <c r="B297" s="101" t="s">
        <v>165</v>
      </c>
      <c r="C297" s="13"/>
      <c r="D297" s="13"/>
      <c r="E297" s="13"/>
      <c r="F297" s="13"/>
      <c r="G297" s="13"/>
      <c r="H297" s="13"/>
      <c r="I297" s="13"/>
      <c r="J297" s="13"/>
      <c r="K297" s="11"/>
    </row>
    <row r="298" spans="2:11" x14ac:dyDescent="0.35">
      <c r="B298" s="37">
        <v>552</v>
      </c>
      <c r="C298" s="125" t="s">
        <v>248</v>
      </c>
      <c r="D298" s="125"/>
      <c r="E298" s="125"/>
      <c r="F298" s="41">
        <f>H257-I268</f>
        <v>175050</v>
      </c>
      <c r="G298" s="13" t="s">
        <v>263</v>
      </c>
      <c r="H298" s="13"/>
      <c r="I298" s="13"/>
      <c r="J298" s="13"/>
      <c r="K298" s="11"/>
    </row>
    <row r="299" spans="2:11" x14ac:dyDescent="0.35">
      <c r="B299" s="37">
        <v>553</v>
      </c>
      <c r="C299" s="125" t="s">
        <v>208</v>
      </c>
      <c r="D299" s="125"/>
      <c r="E299" s="125"/>
      <c r="F299" s="9">
        <f>I227</f>
        <v>180320</v>
      </c>
      <c r="G299" s="13"/>
      <c r="H299" s="13"/>
      <c r="I299" s="13"/>
      <c r="J299" s="13"/>
      <c r="K299" s="11"/>
    </row>
    <row r="300" spans="2:11" x14ac:dyDescent="0.35">
      <c r="B300" s="37"/>
      <c r="C300" s="13"/>
      <c r="D300" s="13"/>
      <c r="E300" s="13"/>
      <c r="F300" s="100">
        <f>F299-F298</f>
        <v>5270</v>
      </c>
      <c r="G300" s="74" t="s">
        <v>83</v>
      </c>
      <c r="H300" s="13"/>
      <c r="I300" s="13"/>
      <c r="J300" s="13"/>
      <c r="K300" s="11"/>
    </row>
    <row r="301" spans="2:11" x14ac:dyDescent="0.35">
      <c r="B301" s="101" t="s">
        <v>166</v>
      </c>
      <c r="C301" s="13"/>
      <c r="D301" s="13"/>
      <c r="E301" s="13"/>
      <c r="F301" s="13"/>
      <c r="G301" s="13"/>
      <c r="H301" s="13"/>
      <c r="I301" s="13"/>
      <c r="J301" s="13"/>
      <c r="K301" s="11"/>
    </row>
    <row r="302" spans="2:11" x14ac:dyDescent="0.35">
      <c r="B302" s="37">
        <v>562</v>
      </c>
      <c r="C302" s="13" t="s">
        <v>239</v>
      </c>
      <c r="D302" s="13"/>
      <c r="E302" s="13"/>
      <c r="F302" s="41">
        <f>H260-I271</f>
        <v>51375</v>
      </c>
      <c r="G302" s="13" t="s">
        <v>264</v>
      </c>
      <c r="H302" s="13"/>
      <c r="I302" s="13"/>
      <c r="J302" s="13"/>
      <c r="K302" s="11"/>
    </row>
    <row r="303" spans="2:11" x14ac:dyDescent="0.35">
      <c r="B303" s="37">
        <v>563</v>
      </c>
      <c r="C303" s="13" t="s">
        <v>223</v>
      </c>
      <c r="D303" s="13"/>
      <c r="E303" s="13"/>
      <c r="F303" s="9">
        <f>I246</f>
        <v>48000</v>
      </c>
      <c r="G303" s="13"/>
      <c r="H303" s="13"/>
      <c r="I303" s="13"/>
      <c r="J303" s="13"/>
      <c r="K303" s="11"/>
    </row>
    <row r="304" spans="2:11" x14ac:dyDescent="0.35">
      <c r="B304" s="31"/>
      <c r="C304" s="13"/>
      <c r="D304" s="13"/>
      <c r="E304" s="13"/>
      <c r="F304" s="100">
        <f>F302-F303</f>
        <v>3375</v>
      </c>
      <c r="G304" s="74" t="s">
        <v>57</v>
      </c>
      <c r="H304" s="13"/>
      <c r="I304" s="13"/>
      <c r="J304" s="13"/>
      <c r="K304" s="11"/>
    </row>
    <row r="305" spans="2:11" x14ac:dyDescent="0.35">
      <c r="B305" s="147" t="s">
        <v>259</v>
      </c>
      <c r="C305" s="148"/>
      <c r="D305" s="13"/>
      <c r="E305" s="13"/>
      <c r="F305" s="13"/>
      <c r="G305" s="13"/>
      <c r="H305" s="13"/>
      <c r="I305" s="13"/>
      <c r="J305" s="13"/>
      <c r="K305" s="11"/>
    </row>
    <row r="306" spans="2:11" x14ac:dyDescent="0.35">
      <c r="B306" s="43" t="s">
        <v>260</v>
      </c>
      <c r="C306" s="13"/>
      <c r="D306" s="13"/>
      <c r="E306" s="13"/>
      <c r="F306" s="13"/>
      <c r="G306" s="13"/>
      <c r="H306" s="13"/>
      <c r="I306" s="13"/>
      <c r="J306" s="13"/>
      <c r="K306" s="11"/>
    </row>
    <row r="307" spans="2:11" x14ac:dyDescent="0.35">
      <c r="B307" s="37">
        <v>601</v>
      </c>
      <c r="C307" s="125" t="s">
        <v>16</v>
      </c>
      <c r="D307" s="125"/>
      <c r="E307" s="125"/>
      <c r="F307" s="41">
        <f>H221</f>
        <v>636300</v>
      </c>
      <c r="G307" s="13"/>
      <c r="H307" s="13"/>
      <c r="I307" s="13"/>
      <c r="J307" s="13"/>
      <c r="K307" s="11"/>
    </row>
    <row r="308" spans="2:11" x14ac:dyDescent="0.35">
      <c r="B308" s="37">
        <v>611</v>
      </c>
      <c r="C308" s="125" t="s">
        <v>19</v>
      </c>
      <c r="D308" s="125"/>
      <c r="E308" s="125"/>
      <c r="F308" s="20">
        <f>I233-H276</f>
        <v>641340</v>
      </c>
      <c r="G308" s="13" t="s">
        <v>265</v>
      </c>
      <c r="H308" s="13"/>
      <c r="I308" s="13"/>
      <c r="J308" s="13"/>
      <c r="K308" s="11"/>
    </row>
    <row r="309" spans="2:11" x14ac:dyDescent="0.35">
      <c r="B309" s="101" t="s">
        <v>259</v>
      </c>
      <c r="C309" s="13"/>
      <c r="D309" s="13"/>
      <c r="E309" s="13"/>
      <c r="F309" s="100">
        <f>F308-F307</f>
        <v>5040</v>
      </c>
      <c r="G309" s="74" t="s">
        <v>83</v>
      </c>
      <c r="H309" s="13"/>
      <c r="I309" s="13"/>
      <c r="J309" s="13"/>
      <c r="K309" s="11"/>
    </row>
    <row r="310" spans="2:11" x14ac:dyDescent="0.35">
      <c r="B310" s="37"/>
      <c r="C310" s="13"/>
      <c r="D310" s="13"/>
      <c r="E310" s="13"/>
      <c r="F310" s="13"/>
      <c r="G310" s="13"/>
      <c r="H310" s="13"/>
      <c r="I310" s="13"/>
      <c r="J310" s="13"/>
      <c r="K310" s="11"/>
    </row>
    <row r="311" spans="2:11" x14ac:dyDescent="0.35">
      <c r="B311" s="147" t="s">
        <v>261</v>
      </c>
      <c r="C311" s="148"/>
      <c r="D311" s="13"/>
      <c r="E311" s="13"/>
      <c r="F311" s="13"/>
      <c r="G311" s="13"/>
      <c r="H311" s="13"/>
      <c r="I311" s="13"/>
      <c r="J311" s="13"/>
      <c r="K311" s="11"/>
    </row>
    <row r="312" spans="2:11" x14ac:dyDescent="0.35">
      <c r="B312" s="101" t="s">
        <v>260</v>
      </c>
      <c r="C312" s="13"/>
      <c r="D312" s="13"/>
      <c r="E312" s="13"/>
      <c r="F312" s="13"/>
      <c r="G312" s="13"/>
      <c r="H312" s="13"/>
      <c r="I312" s="13"/>
      <c r="J312" s="13"/>
      <c r="K312" s="11"/>
    </row>
    <row r="313" spans="2:11" x14ac:dyDescent="0.35">
      <c r="B313" s="37">
        <v>630</v>
      </c>
      <c r="C313" s="125" t="s">
        <v>20</v>
      </c>
      <c r="D313" s="125"/>
      <c r="E313" s="125"/>
      <c r="F313" s="41">
        <f>H189</f>
        <v>647200</v>
      </c>
      <c r="G313" s="13"/>
      <c r="H313" s="13"/>
      <c r="I313" s="13"/>
      <c r="J313" s="13"/>
      <c r="K313" s="11"/>
    </row>
    <row r="314" spans="2:11" x14ac:dyDescent="0.35">
      <c r="B314" s="37">
        <v>631</v>
      </c>
      <c r="C314" s="125" t="s">
        <v>205</v>
      </c>
      <c r="D314" s="125"/>
      <c r="E314" s="125"/>
      <c r="F314" s="9">
        <f>I222</f>
        <v>636300</v>
      </c>
      <c r="G314" s="13"/>
      <c r="H314" s="13"/>
      <c r="I314" s="13"/>
      <c r="J314" s="13"/>
      <c r="K314" s="11"/>
    </row>
    <row r="315" spans="2:11" x14ac:dyDescent="0.35">
      <c r="B315" s="43" t="s">
        <v>261</v>
      </c>
      <c r="C315" s="13"/>
      <c r="D315" s="13"/>
      <c r="E315" s="13"/>
      <c r="F315" s="100">
        <f>F313-F314</f>
        <v>10900</v>
      </c>
      <c r="G315" s="74" t="s">
        <v>57</v>
      </c>
      <c r="H315" s="13"/>
      <c r="I315" s="13"/>
      <c r="J315" s="13"/>
      <c r="K315" s="11"/>
    </row>
    <row r="316" spans="2:11" x14ac:dyDescent="0.35">
      <c r="B316" s="31"/>
      <c r="C316" s="13"/>
      <c r="D316" s="13"/>
      <c r="E316" s="13"/>
      <c r="F316" s="13"/>
      <c r="G316" s="13"/>
      <c r="H316" s="13"/>
      <c r="I316" s="13"/>
      <c r="J316" s="13"/>
      <c r="K316" s="11"/>
    </row>
    <row r="317" spans="2:11" x14ac:dyDescent="0.35">
      <c r="B317" s="31"/>
      <c r="C317" s="13"/>
      <c r="D317" s="13"/>
      <c r="E317" s="13"/>
      <c r="F317" s="13"/>
      <c r="G317" s="13"/>
      <c r="H317" s="13"/>
      <c r="I317" s="13"/>
      <c r="J317" s="13"/>
      <c r="K317" s="11"/>
    </row>
    <row r="318" spans="2:11" x14ac:dyDescent="0.35">
      <c r="B318" s="147" t="s">
        <v>25</v>
      </c>
      <c r="C318" s="148"/>
      <c r="D318" s="13"/>
      <c r="E318" s="13"/>
      <c r="F318" s="13"/>
      <c r="G318" s="13"/>
      <c r="H318" s="13"/>
      <c r="I318" s="13"/>
      <c r="J318" s="13"/>
      <c r="K318" s="11"/>
    </row>
    <row r="319" spans="2:11" x14ac:dyDescent="0.35">
      <c r="B319" s="43" t="s">
        <v>269</v>
      </c>
      <c r="C319" s="13"/>
      <c r="D319" s="13"/>
      <c r="E319" s="13"/>
      <c r="F319" s="13"/>
      <c r="G319" s="13"/>
      <c r="H319" s="13"/>
      <c r="I319" s="13"/>
      <c r="J319" s="13"/>
      <c r="K319" s="11"/>
    </row>
    <row r="320" spans="2:11" x14ac:dyDescent="0.35">
      <c r="B320" s="31" t="s">
        <v>270</v>
      </c>
      <c r="C320" s="13"/>
      <c r="D320" s="13"/>
      <c r="E320" s="13"/>
      <c r="F320" s="13"/>
      <c r="G320" s="13"/>
      <c r="H320" s="13"/>
      <c r="I320" s="13"/>
      <c r="J320" s="13"/>
      <c r="K320" s="11"/>
    </row>
    <row r="321" spans="2:11" x14ac:dyDescent="0.35">
      <c r="B321" s="31" t="s">
        <v>271</v>
      </c>
      <c r="C321" s="13"/>
      <c r="D321" s="13" t="s">
        <v>272</v>
      </c>
      <c r="E321" s="13"/>
      <c r="F321" s="13"/>
      <c r="G321" s="13"/>
      <c r="H321" s="13"/>
      <c r="I321" s="13"/>
      <c r="J321" s="13"/>
      <c r="K321" s="11"/>
    </row>
    <row r="322" spans="2:11" x14ac:dyDescent="0.35">
      <c r="B322" s="31"/>
      <c r="C322" s="13"/>
      <c r="D322" s="13"/>
      <c r="E322" s="13"/>
      <c r="F322" s="13"/>
      <c r="G322" s="13"/>
      <c r="H322" s="13"/>
      <c r="I322" s="13"/>
      <c r="J322" s="13"/>
      <c r="K322" s="11"/>
    </row>
    <row r="323" spans="2:11" x14ac:dyDescent="0.35">
      <c r="B323" s="43" t="s">
        <v>165</v>
      </c>
      <c r="C323" s="13"/>
      <c r="D323" s="13"/>
      <c r="E323" s="13"/>
      <c r="F323" s="13"/>
      <c r="G323" s="13"/>
      <c r="H323" s="13"/>
      <c r="I323" s="13"/>
      <c r="J323" s="13"/>
      <c r="K323" s="11"/>
    </row>
    <row r="324" spans="2:11" x14ac:dyDescent="0.35">
      <c r="B324" s="31" t="s">
        <v>270</v>
      </c>
      <c r="C324" s="13"/>
      <c r="D324" s="13"/>
      <c r="E324" s="13"/>
      <c r="F324" s="13"/>
      <c r="G324" s="13"/>
      <c r="H324" s="13"/>
      <c r="I324" s="13"/>
      <c r="J324" s="13"/>
      <c r="K324" s="11"/>
    </row>
    <row r="325" spans="2:11" x14ac:dyDescent="0.35">
      <c r="B325" s="31" t="s">
        <v>273</v>
      </c>
      <c r="C325" s="13"/>
      <c r="D325" s="13" t="s">
        <v>274</v>
      </c>
      <c r="E325" s="13"/>
      <c r="F325" s="13"/>
      <c r="G325" s="13"/>
      <c r="H325" s="13"/>
      <c r="I325" s="13"/>
      <c r="J325" s="13"/>
      <c r="K325" s="11"/>
    </row>
    <row r="326" spans="2:11" x14ac:dyDescent="0.35">
      <c r="B326" s="31"/>
      <c r="C326" s="13"/>
      <c r="D326" s="13"/>
      <c r="E326" s="13"/>
      <c r="F326" s="13"/>
      <c r="G326" s="13"/>
      <c r="H326" s="13"/>
      <c r="I326" s="13"/>
      <c r="J326" s="13"/>
      <c r="K326" s="11"/>
    </row>
    <row r="327" spans="2:11" x14ac:dyDescent="0.35">
      <c r="B327" s="43" t="s">
        <v>166</v>
      </c>
      <c r="C327" s="13"/>
      <c r="D327" s="13"/>
      <c r="E327" s="13"/>
      <c r="F327" s="13"/>
      <c r="G327" s="13"/>
      <c r="H327" s="13"/>
      <c r="I327" s="13"/>
      <c r="J327" s="13"/>
      <c r="K327" s="11"/>
    </row>
    <row r="328" spans="2:11" x14ac:dyDescent="0.35">
      <c r="B328" s="102">
        <v>3375</v>
      </c>
      <c r="C328" s="21" t="s">
        <v>272</v>
      </c>
      <c r="D328" s="21" t="s">
        <v>275</v>
      </c>
      <c r="E328" s="21"/>
      <c r="F328" s="21"/>
      <c r="G328" s="21"/>
      <c r="H328" s="21"/>
      <c r="I328" s="21"/>
      <c r="J328" s="21"/>
      <c r="K328" s="33"/>
    </row>
  </sheetData>
  <mergeCells count="208">
    <mergeCell ref="B2:C2"/>
    <mergeCell ref="B14:C14"/>
    <mergeCell ref="C299:E299"/>
    <mergeCell ref="C307:E307"/>
    <mergeCell ref="C308:E308"/>
    <mergeCell ref="C313:E313"/>
    <mergeCell ref="C314:E314"/>
    <mergeCell ref="C288:E288"/>
    <mergeCell ref="C289:E289"/>
    <mergeCell ref="C294:E294"/>
    <mergeCell ref="C295:E295"/>
    <mergeCell ref="C298:E298"/>
    <mergeCell ref="C260:G260"/>
    <mergeCell ref="C261:G261"/>
    <mergeCell ref="C264:G264"/>
    <mergeCell ref="C265:G265"/>
    <mergeCell ref="C267:G267"/>
    <mergeCell ref="C252:G252"/>
    <mergeCell ref="C254:G254"/>
    <mergeCell ref="C255:G255"/>
    <mergeCell ref="C257:G257"/>
    <mergeCell ref="C258:G258"/>
    <mergeCell ref="B241:G241"/>
    <mergeCell ref="B236:C236"/>
    <mergeCell ref="B248:C248"/>
    <mergeCell ref="C226:G226"/>
    <mergeCell ref="C227:G227"/>
    <mergeCell ref="C231:G231"/>
    <mergeCell ref="C232:G232"/>
    <mergeCell ref="C233:G233"/>
    <mergeCell ref="C234:G234"/>
    <mergeCell ref="C238:G238"/>
    <mergeCell ref="C239:G239"/>
    <mergeCell ref="C240:G240"/>
    <mergeCell ref="C242:G242"/>
    <mergeCell ref="C243:G243"/>
    <mergeCell ref="B208:C208"/>
    <mergeCell ref="C221:G221"/>
    <mergeCell ref="C222:G222"/>
    <mergeCell ref="C215:G215"/>
    <mergeCell ref="C216:G216"/>
    <mergeCell ref="C217:G217"/>
    <mergeCell ref="B214:C214"/>
    <mergeCell ref="B224:C224"/>
    <mergeCell ref="B229:C229"/>
    <mergeCell ref="C209:G209"/>
    <mergeCell ref="C210:G210"/>
    <mergeCell ref="C211:G211"/>
    <mergeCell ref="B305:C305"/>
    <mergeCell ref="B311:C311"/>
    <mergeCell ref="B318:C318"/>
    <mergeCell ref="C138:G138"/>
    <mergeCell ref="C139:G139"/>
    <mergeCell ref="B142:D142"/>
    <mergeCell ref="B143:D143"/>
    <mergeCell ref="B144:D144"/>
    <mergeCell ref="C147:G147"/>
    <mergeCell ref="C148:G148"/>
    <mergeCell ref="C171:G171"/>
    <mergeCell ref="C172:G172"/>
    <mergeCell ref="C173:G173"/>
    <mergeCell ref="C177:G177"/>
    <mergeCell ref="C178:G178"/>
    <mergeCell ref="C179:G179"/>
    <mergeCell ref="B263:C263"/>
    <mergeCell ref="B273:C273"/>
    <mergeCell ref="B282:C282"/>
    <mergeCell ref="B244:G244"/>
    <mergeCell ref="C245:G245"/>
    <mergeCell ref="C246:G246"/>
    <mergeCell ref="C251:G251"/>
    <mergeCell ref="C212:G212"/>
    <mergeCell ref="B287:C287"/>
    <mergeCell ref="B292:C292"/>
    <mergeCell ref="C268:G268"/>
    <mergeCell ref="C270:G270"/>
    <mergeCell ref="C271:G271"/>
    <mergeCell ref="C275:G275"/>
    <mergeCell ref="C276:G276"/>
    <mergeCell ref="C277:G277"/>
    <mergeCell ref="C278:G278"/>
    <mergeCell ref="C283:E283"/>
    <mergeCell ref="C284:E284"/>
    <mergeCell ref="B285:E285"/>
    <mergeCell ref="B290:E290"/>
    <mergeCell ref="B181:C181"/>
    <mergeCell ref="B187:C187"/>
    <mergeCell ref="B193:C193"/>
    <mergeCell ref="B198:C198"/>
    <mergeCell ref="B206:C206"/>
    <mergeCell ref="C183:G183"/>
    <mergeCell ref="C184:G184"/>
    <mergeCell ref="C185:G185"/>
    <mergeCell ref="C189:G189"/>
    <mergeCell ref="C190:G190"/>
    <mergeCell ref="C191:G191"/>
    <mergeCell ref="C195:G195"/>
    <mergeCell ref="C196:G196"/>
    <mergeCell ref="C200:G200"/>
    <mergeCell ref="C201:G201"/>
    <mergeCell ref="C202:G202"/>
    <mergeCell ref="C203:G203"/>
    <mergeCell ref="C204:G204"/>
    <mergeCell ref="B120:C120"/>
    <mergeCell ref="B141:C141"/>
    <mergeCell ref="B175:C175"/>
    <mergeCell ref="B169:C169"/>
    <mergeCell ref="C128:G128"/>
    <mergeCell ref="C129:G129"/>
    <mergeCell ref="C133:G133"/>
    <mergeCell ref="C134:G134"/>
    <mergeCell ref="B136:C136"/>
    <mergeCell ref="B131:C131"/>
    <mergeCell ref="D154:D155"/>
    <mergeCell ref="F154:F155"/>
    <mergeCell ref="D166:D167"/>
    <mergeCell ref="F166:F167"/>
    <mergeCell ref="C124:G124"/>
    <mergeCell ref="D162:D163"/>
    <mergeCell ref="F162:F163"/>
    <mergeCell ref="B97:C97"/>
    <mergeCell ref="C103:G103"/>
    <mergeCell ref="C84:G84"/>
    <mergeCell ref="B94:D94"/>
    <mergeCell ref="B53:C53"/>
    <mergeCell ref="B58:C58"/>
    <mergeCell ref="B64:C64"/>
    <mergeCell ref="B71:C71"/>
    <mergeCell ref="B77:C77"/>
    <mergeCell ref="B93:D93"/>
    <mergeCell ref="C80:G80"/>
    <mergeCell ref="C85:G85"/>
    <mergeCell ref="C89:G89"/>
    <mergeCell ref="C90:G90"/>
    <mergeCell ref="C73:G73"/>
    <mergeCell ref="C74:G74"/>
    <mergeCell ref="C75:G75"/>
    <mergeCell ref="B82:C82"/>
    <mergeCell ref="B87:C87"/>
    <mergeCell ref="B92:C92"/>
    <mergeCell ref="C122:G122"/>
    <mergeCell ref="C123:G123"/>
    <mergeCell ref="L166:L167"/>
    <mergeCell ref="L154:L155"/>
    <mergeCell ref="E158:E159"/>
    <mergeCell ref="J158:J159"/>
    <mergeCell ref="L158:L159"/>
    <mergeCell ref="E162:E163"/>
    <mergeCell ref="J162:J163"/>
    <mergeCell ref="L162:L163"/>
    <mergeCell ref="I166:I167"/>
    <mergeCell ref="K166:K167"/>
    <mergeCell ref="E166:E167"/>
    <mergeCell ref="J166:J167"/>
    <mergeCell ref="I154:I155"/>
    <mergeCell ref="K154:K155"/>
    <mergeCell ref="D158:D159"/>
    <mergeCell ref="F158:F159"/>
    <mergeCell ref="I158:I159"/>
    <mergeCell ref="K158:K159"/>
    <mergeCell ref="E154:E155"/>
    <mergeCell ref="J154:J155"/>
    <mergeCell ref="B126:C126"/>
    <mergeCell ref="M3:M4"/>
    <mergeCell ref="C39:F39"/>
    <mergeCell ref="J39:M39"/>
    <mergeCell ref="C46:F46"/>
    <mergeCell ref="J46:M46"/>
    <mergeCell ref="D3:D4"/>
    <mergeCell ref="E3:E4"/>
    <mergeCell ref="F3:F4"/>
    <mergeCell ref="I3:I4"/>
    <mergeCell ref="J3:J4"/>
    <mergeCell ref="L3:L4"/>
    <mergeCell ref="C36:G36"/>
    <mergeCell ref="C37:G37"/>
    <mergeCell ref="C31:G31"/>
    <mergeCell ref="C32:G32"/>
    <mergeCell ref="C26:G26"/>
    <mergeCell ref="C27:G27"/>
    <mergeCell ref="C20:G20"/>
    <mergeCell ref="C21:G21"/>
    <mergeCell ref="C22:G22"/>
    <mergeCell ref="B11:C11"/>
    <mergeCell ref="I162:I163"/>
    <mergeCell ref="K162:K163"/>
    <mergeCell ref="K109:K110"/>
    <mergeCell ref="L109:L110"/>
    <mergeCell ref="I59:I60"/>
    <mergeCell ref="F109:F110"/>
    <mergeCell ref="D109:D110"/>
    <mergeCell ref="I109:I110"/>
    <mergeCell ref="E109:E110"/>
    <mergeCell ref="J109:J110"/>
    <mergeCell ref="D59:D60"/>
    <mergeCell ref="E59:E60"/>
    <mergeCell ref="F59:F60"/>
    <mergeCell ref="G59:G60"/>
    <mergeCell ref="H59:H60"/>
    <mergeCell ref="C104:G104"/>
    <mergeCell ref="C105:G105"/>
    <mergeCell ref="C79:G79"/>
    <mergeCell ref="B95:D95"/>
    <mergeCell ref="B98:D98"/>
    <mergeCell ref="B99:D99"/>
    <mergeCell ref="B100:D100"/>
    <mergeCell ref="B117:C117"/>
    <mergeCell ref="B112:C112"/>
  </mergeCells>
  <pageMargins left="0.7" right="0.7" top="0.75" bottom="0.75" header="0.3" footer="0.3"/>
  <pageSetup paperSize="9" orientation="portrait" horizontalDpi="4294967293" vertic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7EB1CF-76EF-451B-80C1-4301EED96F78}">
  <dimension ref="A2:Q295"/>
  <sheetViews>
    <sheetView tabSelected="1" topLeftCell="A100" workbookViewId="0">
      <selection activeCell="G292" sqref="G292"/>
    </sheetView>
  </sheetViews>
  <sheetFormatPr defaultRowHeight="14.5" x14ac:dyDescent="0.35"/>
  <cols>
    <col min="1" max="1" width="9.81640625" customWidth="1"/>
    <col min="3" max="3" width="14.1796875" bestFit="1" customWidth="1"/>
    <col min="4" max="5" width="11.453125" bestFit="1" customWidth="1"/>
    <col min="6" max="6" width="12.453125" bestFit="1" customWidth="1"/>
    <col min="7" max="7" width="12.26953125" customWidth="1"/>
    <col min="8" max="9" width="14.1796875" bestFit="1" customWidth="1"/>
    <col min="10" max="10" width="15.81640625" customWidth="1"/>
  </cols>
  <sheetData>
    <row r="2" spans="1:17" x14ac:dyDescent="0.35">
      <c r="A2" s="23" t="s">
        <v>28</v>
      </c>
      <c r="Q2" t="s">
        <v>118</v>
      </c>
    </row>
    <row r="3" spans="1:17" x14ac:dyDescent="0.35">
      <c r="A3" s="26" t="s">
        <v>321</v>
      </c>
      <c r="B3" s="52" t="s">
        <v>276</v>
      </c>
      <c r="C3" s="53"/>
      <c r="D3" s="54"/>
    </row>
    <row r="4" spans="1:17" x14ac:dyDescent="0.35">
      <c r="B4" s="51"/>
      <c r="C4" s="28" t="s">
        <v>39</v>
      </c>
      <c r="D4" s="28"/>
      <c r="E4" s="28"/>
      <c r="F4" s="28"/>
      <c r="G4" s="28"/>
      <c r="H4" s="28" t="s">
        <v>37</v>
      </c>
      <c r="I4" s="28" t="s">
        <v>38</v>
      </c>
      <c r="J4" s="28" t="s">
        <v>322</v>
      </c>
      <c r="K4" s="10"/>
    </row>
    <row r="5" spans="1:17" x14ac:dyDescent="0.35">
      <c r="B5" s="37">
        <v>550</v>
      </c>
      <c r="C5" s="125" t="s">
        <v>277</v>
      </c>
      <c r="D5" s="125"/>
      <c r="E5" s="125"/>
      <c r="F5" s="125"/>
      <c r="G5" s="125"/>
      <c r="H5" s="30">
        <v>93200</v>
      </c>
      <c r="I5" s="30"/>
      <c r="J5" s="13"/>
      <c r="K5" s="11"/>
    </row>
    <row r="6" spans="1:17" x14ac:dyDescent="0.35">
      <c r="B6" s="37">
        <v>560</v>
      </c>
      <c r="C6" s="125" t="s">
        <v>278</v>
      </c>
      <c r="D6" s="125"/>
      <c r="E6" s="125"/>
      <c r="F6" s="125"/>
      <c r="G6" s="125"/>
      <c r="H6" s="30">
        <v>32000</v>
      </c>
      <c r="I6" s="30"/>
      <c r="J6" s="13"/>
      <c r="K6" s="11"/>
    </row>
    <row r="7" spans="1:17" x14ac:dyDescent="0.35">
      <c r="B7" s="37">
        <v>600</v>
      </c>
      <c r="C7" s="125" t="s">
        <v>15</v>
      </c>
      <c r="D7" s="125"/>
      <c r="E7" s="125"/>
      <c r="F7" s="125"/>
      <c r="G7" s="125"/>
      <c r="H7" s="30">
        <v>185000</v>
      </c>
      <c r="I7" s="30"/>
      <c r="J7" s="13"/>
      <c r="K7" s="11"/>
    </row>
    <row r="8" spans="1:17" x14ac:dyDescent="0.35">
      <c r="B8" s="37">
        <v>630</v>
      </c>
      <c r="C8" s="125" t="s">
        <v>20</v>
      </c>
      <c r="D8" s="125"/>
      <c r="E8" s="125"/>
      <c r="F8" s="125"/>
      <c r="G8" s="125"/>
      <c r="H8" s="30">
        <v>301250</v>
      </c>
      <c r="I8" s="30"/>
      <c r="J8" s="13"/>
      <c r="K8" s="11"/>
    </row>
    <row r="9" spans="1:17" x14ac:dyDescent="0.35">
      <c r="B9" s="37">
        <v>990</v>
      </c>
      <c r="C9" s="125" t="s">
        <v>279</v>
      </c>
      <c r="D9" s="125"/>
      <c r="E9" s="125"/>
      <c r="F9" s="125"/>
      <c r="G9" s="125"/>
      <c r="H9" s="30">
        <v>338520</v>
      </c>
      <c r="I9" s="30"/>
      <c r="J9" s="159" t="s">
        <v>280</v>
      </c>
      <c r="K9" s="164"/>
    </row>
    <row r="10" spans="1:17" x14ac:dyDescent="0.35">
      <c r="B10" s="32" t="s">
        <v>100</v>
      </c>
      <c r="C10" s="124" t="s">
        <v>3</v>
      </c>
      <c r="D10" s="124"/>
      <c r="E10" s="124"/>
      <c r="F10" s="124"/>
      <c r="G10" s="124"/>
      <c r="H10" s="17"/>
      <c r="I10" s="17">
        <f>H5+H6+H7+H8+H9</f>
        <v>949970</v>
      </c>
      <c r="J10" s="21"/>
      <c r="K10" s="33"/>
    </row>
    <row r="11" spans="1:17" x14ac:dyDescent="0.35">
      <c r="H11" s="7"/>
      <c r="I11" s="7"/>
    </row>
    <row r="12" spans="1:17" x14ac:dyDescent="0.35">
      <c r="B12" s="34" t="s">
        <v>285</v>
      </c>
      <c r="C12" s="38"/>
      <c r="H12" s="7"/>
      <c r="I12" s="7"/>
    </row>
    <row r="13" spans="1:17" x14ac:dyDescent="0.35">
      <c r="B13" s="27"/>
      <c r="C13" s="28" t="s">
        <v>39</v>
      </c>
      <c r="D13" s="28"/>
      <c r="E13" s="28"/>
      <c r="F13" s="28"/>
      <c r="G13" s="28"/>
      <c r="H13" s="28" t="s">
        <v>37</v>
      </c>
      <c r="I13" s="28" t="s">
        <v>38</v>
      </c>
      <c r="J13" s="28" t="s">
        <v>322</v>
      </c>
      <c r="K13" s="10"/>
    </row>
    <row r="14" spans="1:17" x14ac:dyDescent="0.35">
      <c r="B14" s="37">
        <v>601</v>
      </c>
      <c r="C14" s="125" t="s">
        <v>260</v>
      </c>
      <c r="D14" s="125"/>
      <c r="E14" s="125"/>
      <c r="F14" s="125"/>
      <c r="G14" s="125"/>
      <c r="H14" s="30">
        <v>304250</v>
      </c>
      <c r="I14" s="30"/>
      <c r="J14" s="159" t="s">
        <v>286</v>
      </c>
      <c r="K14" s="164"/>
    </row>
    <row r="15" spans="1:17" x14ac:dyDescent="0.35">
      <c r="B15" s="32" t="s">
        <v>282</v>
      </c>
      <c r="C15" s="124" t="s">
        <v>21</v>
      </c>
      <c r="D15" s="124"/>
      <c r="E15" s="124"/>
      <c r="F15" s="124"/>
      <c r="G15" s="124"/>
      <c r="H15" s="17"/>
      <c r="I15" s="17">
        <f>H14</f>
        <v>304250</v>
      </c>
      <c r="J15" s="21"/>
      <c r="K15" s="33"/>
    </row>
    <row r="17" spans="2:11" x14ac:dyDescent="0.35">
      <c r="B17" s="34" t="s">
        <v>281</v>
      </c>
      <c r="C17" s="35"/>
    </row>
    <row r="18" spans="2:11" x14ac:dyDescent="0.35">
      <c r="B18" s="27"/>
      <c r="C18" s="28" t="s">
        <v>39</v>
      </c>
      <c r="D18" s="28"/>
      <c r="E18" s="28"/>
      <c r="F18" s="28"/>
      <c r="G18" s="28"/>
      <c r="H18" s="28" t="s">
        <v>37</v>
      </c>
      <c r="I18" s="28" t="s">
        <v>38</v>
      </c>
      <c r="J18" s="28" t="s">
        <v>322</v>
      </c>
      <c r="K18" s="10"/>
    </row>
    <row r="19" spans="2:11" x14ac:dyDescent="0.35">
      <c r="B19" s="37">
        <v>602</v>
      </c>
      <c r="C19" s="125" t="s">
        <v>283</v>
      </c>
      <c r="D19" s="125"/>
      <c r="E19" s="125"/>
      <c r="F19" s="125"/>
      <c r="G19" s="125"/>
      <c r="H19" s="30">
        <v>94500</v>
      </c>
      <c r="I19" s="30"/>
      <c r="J19" s="159" t="s">
        <v>287</v>
      </c>
      <c r="K19" s="164"/>
    </row>
    <row r="20" spans="2:11" x14ac:dyDescent="0.35">
      <c r="B20" s="32" t="s">
        <v>72</v>
      </c>
      <c r="C20" s="124" t="s">
        <v>284</v>
      </c>
      <c r="D20" s="124"/>
      <c r="E20" s="124"/>
      <c r="F20" s="124"/>
      <c r="G20" s="124"/>
      <c r="H20" s="17"/>
      <c r="I20" s="17">
        <f>H19</f>
        <v>94500</v>
      </c>
      <c r="J20" s="21"/>
      <c r="K20" s="33"/>
    </row>
    <row r="22" spans="2:11" x14ac:dyDescent="0.35">
      <c r="B22" s="34" t="s">
        <v>288</v>
      </c>
      <c r="C22" s="35"/>
    </row>
    <row r="23" spans="2:11" x14ac:dyDescent="0.35">
      <c r="B23" s="27"/>
      <c r="C23" s="28" t="s">
        <v>39</v>
      </c>
      <c r="D23" s="28"/>
      <c r="E23" s="28"/>
      <c r="F23" s="28"/>
      <c r="G23" s="28"/>
      <c r="H23" s="28" t="s">
        <v>37</v>
      </c>
      <c r="I23" s="28" t="s">
        <v>38</v>
      </c>
      <c r="J23" s="28" t="s">
        <v>322</v>
      </c>
      <c r="K23" s="10"/>
    </row>
    <row r="24" spans="2:11" x14ac:dyDescent="0.35">
      <c r="B24" s="37">
        <v>700</v>
      </c>
      <c r="C24" s="125" t="s">
        <v>214</v>
      </c>
      <c r="D24" s="125"/>
      <c r="E24" s="125"/>
      <c r="F24" s="125"/>
      <c r="G24" s="125"/>
      <c r="H24" s="30">
        <v>570000</v>
      </c>
      <c r="I24" s="30"/>
      <c r="J24" s="13" t="s">
        <v>291</v>
      </c>
      <c r="K24" s="11"/>
    </row>
    <row r="25" spans="2:11" x14ac:dyDescent="0.35">
      <c r="B25" s="31" t="s">
        <v>211</v>
      </c>
      <c r="C25" s="125" t="s">
        <v>18</v>
      </c>
      <c r="D25" s="125"/>
      <c r="E25" s="125"/>
      <c r="F25" s="125"/>
      <c r="G25" s="125"/>
      <c r="H25" s="30"/>
      <c r="I25" s="30">
        <v>180000</v>
      </c>
      <c r="J25" s="13" t="s">
        <v>292</v>
      </c>
      <c r="K25" s="11"/>
    </row>
    <row r="26" spans="2:11" x14ac:dyDescent="0.35">
      <c r="B26" s="31" t="s">
        <v>213</v>
      </c>
      <c r="C26" s="125" t="s">
        <v>289</v>
      </c>
      <c r="D26" s="125"/>
      <c r="E26" s="125"/>
      <c r="F26" s="125"/>
      <c r="G26" s="125"/>
      <c r="H26" s="30"/>
      <c r="I26" s="30">
        <v>300000</v>
      </c>
      <c r="J26" s="13" t="s">
        <v>293</v>
      </c>
      <c r="K26" s="11"/>
    </row>
    <row r="27" spans="2:11" x14ac:dyDescent="0.35">
      <c r="B27" s="31" t="s">
        <v>212</v>
      </c>
      <c r="C27" s="125" t="s">
        <v>290</v>
      </c>
      <c r="D27" s="125"/>
      <c r="E27" s="125"/>
      <c r="F27" s="125"/>
      <c r="G27" s="125"/>
      <c r="H27" s="30"/>
      <c r="I27" s="30">
        <v>90000</v>
      </c>
      <c r="J27" s="13" t="s">
        <v>294</v>
      </c>
      <c r="K27" s="11"/>
    </row>
    <row r="28" spans="2:11" x14ac:dyDescent="0.35">
      <c r="B28" s="32"/>
      <c r="C28" s="21"/>
      <c r="D28" s="21"/>
      <c r="E28" s="21"/>
      <c r="F28" s="21"/>
      <c r="G28" s="21"/>
      <c r="H28" s="21"/>
      <c r="I28" s="21"/>
      <c r="J28" s="21"/>
      <c r="K28" s="33"/>
    </row>
    <row r="29" spans="2:11" x14ac:dyDescent="0.35">
      <c r="B29" s="55" t="s">
        <v>295</v>
      </c>
      <c r="C29" s="56"/>
      <c r="D29" s="56"/>
      <c r="E29" s="57"/>
    </row>
    <row r="30" spans="2:11" x14ac:dyDescent="0.35">
      <c r="B30" s="27"/>
      <c r="C30" s="28" t="s">
        <v>39</v>
      </c>
      <c r="D30" s="28"/>
      <c r="E30" s="28"/>
      <c r="F30" s="28"/>
      <c r="G30" s="28"/>
      <c r="H30" s="28" t="s">
        <v>37</v>
      </c>
      <c r="I30" s="28" t="s">
        <v>38</v>
      </c>
      <c r="J30" s="28" t="s">
        <v>322</v>
      </c>
      <c r="K30" s="10"/>
    </row>
    <row r="31" spans="2:11" x14ac:dyDescent="0.35">
      <c r="B31" s="29">
        <v>130</v>
      </c>
      <c r="C31" s="125" t="s">
        <v>1</v>
      </c>
      <c r="D31" s="125"/>
      <c r="E31" s="125"/>
      <c r="F31" s="125"/>
      <c r="G31" s="125"/>
      <c r="H31" s="30">
        <f>I33+I32</f>
        <v>1239040</v>
      </c>
      <c r="I31" s="30"/>
      <c r="J31" s="13"/>
      <c r="K31" s="11"/>
    </row>
    <row r="32" spans="2:11" x14ac:dyDescent="0.35">
      <c r="B32" s="31" t="s">
        <v>217</v>
      </c>
      <c r="C32" s="125" t="s">
        <v>2</v>
      </c>
      <c r="D32" s="125"/>
      <c r="E32" s="125"/>
      <c r="F32" s="125"/>
      <c r="G32" s="125"/>
      <c r="H32" s="30"/>
      <c r="I32" s="30">
        <v>215040</v>
      </c>
      <c r="J32" s="13" t="s">
        <v>302</v>
      </c>
      <c r="K32" s="11"/>
    </row>
    <row r="33" spans="1:11" x14ac:dyDescent="0.35">
      <c r="B33" s="32" t="s">
        <v>296</v>
      </c>
      <c r="C33" s="124" t="s">
        <v>301</v>
      </c>
      <c r="D33" s="124"/>
      <c r="E33" s="124"/>
      <c r="F33" s="124"/>
      <c r="G33" s="124"/>
      <c r="H33" s="17"/>
      <c r="I33" s="17">
        <v>1024000</v>
      </c>
      <c r="J33" s="21" t="s">
        <v>303</v>
      </c>
      <c r="K33" s="33"/>
    </row>
    <row r="35" spans="1:11" x14ac:dyDescent="0.35">
      <c r="B35" s="27" t="s">
        <v>297</v>
      </c>
      <c r="C35" s="28"/>
      <c r="D35" s="36"/>
    </row>
    <row r="36" spans="1:11" x14ac:dyDescent="0.35">
      <c r="B36" s="27"/>
      <c r="C36" s="28" t="s">
        <v>39</v>
      </c>
      <c r="D36" s="28"/>
      <c r="E36" s="28"/>
      <c r="F36" s="28"/>
      <c r="G36" s="28"/>
      <c r="H36" s="28" t="s">
        <v>37</v>
      </c>
      <c r="I36" s="28" t="s">
        <v>38</v>
      </c>
      <c r="J36" s="36" t="s">
        <v>322</v>
      </c>
    </row>
    <row r="37" spans="1:11" x14ac:dyDescent="0.35">
      <c r="B37" s="37">
        <v>800</v>
      </c>
      <c r="C37" s="125" t="s">
        <v>24</v>
      </c>
      <c r="D37" s="125"/>
      <c r="E37" s="125"/>
      <c r="F37" s="125"/>
      <c r="G37" s="125"/>
      <c r="H37" s="30">
        <v>608000</v>
      </c>
      <c r="I37" s="30"/>
      <c r="J37" s="11" t="s">
        <v>304</v>
      </c>
    </row>
    <row r="38" spans="1:11" x14ac:dyDescent="0.35">
      <c r="B38" s="32" t="s">
        <v>219</v>
      </c>
      <c r="C38" s="124" t="s">
        <v>298</v>
      </c>
      <c r="D38" s="124"/>
      <c r="E38" s="124"/>
      <c r="F38" s="124"/>
      <c r="G38" s="124"/>
      <c r="H38" s="17"/>
      <c r="I38" s="17">
        <f>H37</f>
        <v>608000</v>
      </c>
      <c r="J38" s="33"/>
    </row>
    <row r="40" spans="1:11" x14ac:dyDescent="0.35">
      <c r="B40" s="27" t="s">
        <v>299</v>
      </c>
      <c r="C40" s="39"/>
      <c r="D40" s="39"/>
      <c r="E40" s="40"/>
    </row>
    <row r="41" spans="1:11" x14ac:dyDescent="0.35">
      <c r="B41" s="27"/>
      <c r="C41" s="28" t="s">
        <v>39</v>
      </c>
      <c r="D41" s="28"/>
      <c r="E41" s="28"/>
      <c r="F41" s="28"/>
      <c r="G41" s="28"/>
      <c r="H41" s="28" t="s">
        <v>37</v>
      </c>
      <c r="I41" s="28" t="s">
        <v>38</v>
      </c>
      <c r="J41" s="28" t="s">
        <v>322</v>
      </c>
      <c r="K41" s="10"/>
    </row>
    <row r="42" spans="1:11" x14ac:dyDescent="0.35">
      <c r="B42" s="37">
        <v>820</v>
      </c>
      <c r="C42" s="125" t="s">
        <v>299</v>
      </c>
      <c r="D42" s="125"/>
      <c r="E42" s="125"/>
      <c r="F42" s="125"/>
      <c r="G42" s="125"/>
      <c r="H42" s="30">
        <v>30720</v>
      </c>
      <c r="I42" s="30"/>
      <c r="J42" s="13" t="s">
        <v>305</v>
      </c>
      <c r="K42" s="11"/>
    </row>
    <row r="43" spans="1:11" x14ac:dyDescent="0.35">
      <c r="B43" s="32" t="s">
        <v>220</v>
      </c>
      <c r="C43" s="124" t="s">
        <v>300</v>
      </c>
      <c r="D43" s="124"/>
      <c r="E43" s="124"/>
      <c r="F43" s="124"/>
      <c r="G43" s="124"/>
      <c r="H43" s="17"/>
      <c r="I43" s="17">
        <f>H42</f>
        <v>30720</v>
      </c>
      <c r="J43" s="21"/>
      <c r="K43" s="33"/>
    </row>
    <row r="45" spans="1:11" x14ac:dyDescent="0.35">
      <c r="A45" s="26" t="s">
        <v>323</v>
      </c>
      <c r="B45" s="25" t="s">
        <v>306</v>
      </c>
      <c r="C45" s="24"/>
    </row>
    <row r="46" spans="1:11" x14ac:dyDescent="0.35">
      <c r="B46" s="149" t="s">
        <v>165</v>
      </c>
      <c r="C46" s="150"/>
      <c r="D46" s="150"/>
      <c r="E46" s="150"/>
      <c r="F46" s="150"/>
      <c r="G46" s="12"/>
      <c r="H46" s="10"/>
    </row>
    <row r="47" spans="1:11" x14ac:dyDescent="0.35">
      <c r="B47" s="140" t="s">
        <v>277</v>
      </c>
      <c r="C47" s="125"/>
      <c r="D47" s="125"/>
      <c r="E47" s="125"/>
      <c r="F47" s="125"/>
      <c r="G47" s="41">
        <f>H5</f>
        <v>93200</v>
      </c>
      <c r="H47" s="11"/>
    </row>
    <row r="48" spans="1:11" x14ac:dyDescent="0.35">
      <c r="B48" s="140" t="s">
        <v>284</v>
      </c>
      <c r="C48" s="125"/>
      <c r="D48" s="125"/>
      <c r="E48" s="125"/>
      <c r="F48" s="125"/>
      <c r="G48" s="9">
        <f>I20</f>
        <v>94500</v>
      </c>
      <c r="H48" s="11"/>
    </row>
    <row r="49" spans="2:10" x14ac:dyDescent="0.35">
      <c r="B49" s="31"/>
      <c r="C49" s="13"/>
      <c r="D49" s="13"/>
      <c r="E49" s="13"/>
      <c r="F49" s="13"/>
      <c r="G49" s="41">
        <f>G48-G47</f>
        <v>1300</v>
      </c>
      <c r="H49" s="11" t="s">
        <v>83</v>
      </c>
    </row>
    <row r="50" spans="2:10" x14ac:dyDescent="0.35">
      <c r="B50" s="31"/>
      <c r="C50" s="13"/>
      <c r="D50" s="13"/>
      <c r="E50" s="13"/>
      <c r="F50" s="13"/>
      <c r="G50" s="13"/>
      <c r="H50" s="11"/>
    </row>
    <row r="51" spans="2:10" x14ac:dyDescent="0.35">
      <c r="B51" s="147" t="s">
        <v>166</v>
      </c>
      <c r="C51" s="148"/>
      <c r="D51" s="148"/>
      <c r="E51" s="148"/>
      <c r="F51" s="148"/>
      <c r="G51" s="13"/>
      <c r="H51" s="11"/>
    </row>
    <row r="52" spans="2:10" x14ac:dyDescent="0.35">
      <c r="B52" s="140" t="s">
        <v>278</v>
      </c>
      <c r="C52" s="125"/>
      <c r="D52" s="125"/>
      <c r="E52" s="125"/>
      <c r="F52" s="125"/>
      <c r="G52" s="41">
        <f>H6</f>
        <v>32000</v>
      </c>
      <c r="H52" s="11"/>
    </row>
    <row r="53" spans="2:10" x14ac:dyDescent="0.35">
      <c r="B53" s="140" t="s">
        <v>300</v>
      </c>
      <c r="C53" s="125"/>
      <c r="D53" s="125"/>
      <c r="E53" s="125"/>
      <c r="F53" s="125"/>
      <c r="G53" s="9">
        <f>I43</f>
        <v>30720</v>
      </c>
      <c r="H53" s="11"/>
    </row>
    <row r="54" spans="2:10" x14ac:dyDescent="0.35">
      <c r="B54" s="31"/>
      <c r="C54" s="13"/>
      <c r="D54" s="13"/>
      <c r="E54" s="13"/>
      <c r="F54" s="13"/>
      <c r="G54" s="41">
        <f>G52-G53</f>
        <v>1280</v>
      </c>
      <c r="H54" s="11" t="s">
        <v>57</v>
      </c>
    </row>
    <row r="55" spans="2:10" x14ac:dyDescent="0.35">
      <c r="B55" s="31"/>
      <c r="C55" s="13"/>
      <c r="D55" s="13"/>
      <c r="E55" s="13"/>
      <c r="F55" s="13"/>
      <c r="G55" s="21"/>
      <c r="H55" s="11"/>
    </row>
    <row r="56" spans="2:10" x14ac:dyDescent="0.35">
      <c r="B56" s="32"/>
      <c r="C56" s="21"/>
      <c r="D56" s="21"/>
      <c r="E56" s="21"/>
      <c r="F56" s="21"/>
      <c r="G56" s="44">
        <f>G49-G54</f>
        <v>20</v>
      </c>
      <c r="H56" s="33" t="s">
        <v>83</v>
      </c>
    </row>
    <row r="57" spans="2:10" x14ac:dyDescent="0.35">
      <c r="B57" s="42" t="s">
        <v>307</v>
      </c>
      <c r="C57" s="35"/>
    </row>
    <row r="58" spans="2:10" x14ac:dyDescent="0.35">
      <c r="B58" s="27"/>
      <c r="C58" s="28" t="s">
        <v>39</v>
      </c>
      <c r="D58" s="28"/>
      <c r="E58" s="28"/>
      <c r="F58" s="28"/>
      <c r="G58" s="28"/>
      <c r="H58" s="28" t="s">
        <v>37</v>
      </c>
      <c r="I58" s="28" t="s">
        <v>38</v>
      </c>
      <c r="J58" s="36" t="s">
        <v>322</v>
      </c>
    </row>
    <row r="59" spans="2:10" x14ac:dyDescent="0.35">
      <c r="B59" s="37">
        <v>599</v>
      </c>
      <c r="C59" s="125" t="s">
        <v>3</v>
      </c>
      <c r="D59" s="125"/>
      <c r="E59" s="125"/>
      <c r="F59" s="125"/>
      <c r="G59" s="125"/>
      <c r="H59" s="41">
        <f>G56</f>
        <v>20</v>
      </c>
      <c r="I59" s="13"/>
      <c r="J59" s="11"/>
    </row>
    <row r="60" spans="2:10" x14ac:dyDescent="0.35">
      <c r="B60" s="32" t="s">
        <v>308</v>
      </c>
      <c r="C60" s="124" t="s">
        <v>309</v>
      </c>
      <c r="D60" s="124"/>
      <c r="E60" s="124"/>
      <c r="F60" s="124"/>
      <c r="G60" s="124"/>
      <c r="H60" s="21"/>
      <c r="I60" s="9">
        <f>H59</f>
        <v>20</v>
      </c>
      <c r="J60" s="33"/>
    </row>
    <row r="61" spans="2:10" x14ac:dyDescent="0.35">
      <c r="C61" s="8"/>
      <c r="D61" s="8"/>
      <c r="E61" s="8"/>
      <c r="F61" s="8"/>
      <c r="G61" s="8"/>
    </row>
    <row r="62" spans="2:10" x14ac:dyDescent="0.35">
      <c r="B62" s="27" t="s">
        <v>310</v>
      </c>
      <c r="C62" s="28"/>
      <c r="D62" s="12"/>
      <c r="E62" s="12"/>
      <c r="F62" s="12"/>
      <c r="G62" s="12"/>
      <c r="H62" s="10"/>
    </row>
    <row r="63" spans="2:10" x14ac:dyDescent="0.35">
      <c r="B63" s="45" t="s">
        <v>311</v>
      </c>
      <c r="C63" s="46"/>
      <c r="D63" s="13"/>
      <c r="E63" s="13"/>
      <c r="F63" s="13"/>
      <c r="G63" s="13"/>
      <c r="H63" s="11"/>
    </row>
    <row r="64" spans="2:10" x14ac:dyDescent="0.35">
      <c r="B64" s="140" t="s">
        <v>15</v>
      </c>
      <c r="C64" s="125"/>
      <c r="D64" s="125"/>
      <c r="E64" s="125"/>
      <c r="F64" s="125"/>
      <c r="G64" s="41">
        <f>H7</f>
        <v>185000</v>
      </c>
      <c r="H64" s="11"/>
    </row>
    <row r="65" spans="2:8" x14ac:dyDescent="0.35">
      <c r="B65" s="140" t="s">
        <v>18</v>
      </c>
      <c r="C65" s="125"/>
      <c r="D65" s="125"/>
      <c r="E65" s="125"/>
      <c r="F65" s="125"/>
      <c r="G65" s="9">
        <f>I25</f>
        <v>180000</v>
      </c>
      <c r="H65" s="11"/>
    </row>
    <row r="66" spans="2:8" x14ac:dyDescent="0.35">
      <c r="B66" s="31"/>
      <c r="C66" s="13"/>
      <c r="D66" s="13"/>
      <c r="E66" s="13"/>
      <c r="F66" s="13"/>
      <c r="G66" s="41">
        <f>G64-G65</f>
        <v>5000</v>
      </c>
      <c r="H66" s="11" t="s">
        <v>57</v>
      </c>
    </row>
    <row r="67" spans="2:8" x14ac:dyDescent="0.35">
      <c r="B67" s="31"/>
      <c r="C67" s="13"/>
      <c r="D67" s="13"/>
      <c r="E67" s="13"/>
      <c r="F67" s="13"/>
      <c r="G67" s="13"/>
      <c r="H67" s="11"/>
    </row>
    <row r="68" spans="2:8" x14ac:dyDescent="0.35">
      <c r="B68" s="45" t="s">
        <v>260</v>
      </c>
      <c r="C68" s="49"/>
      <c r="D68" s="13"/>
      <c r="E68" s="13"/>
      <c r="F68" s="13"/>
      <c r="G68" s="13"/>
      <c r="H68" s="11"/>
    </row>
    <row r="69" spans="2:8" x14ac:dyDescent="0.35">
      <c r="B69" s="140" t="s">
        <v>260</v>
      </c>
      <c r="C69" s="125"/>
      <c r="D69" s="125"/>
      <c r="E69" s="125"/>
      <c r="F69" s="125"/>
      <c r="G69" s="41">
        <f>H14</f>
        <v>304250</v>
      </c>
      <c r="H69" s="11"/>
    </row>
    <row r="70" spans="2:8" x14ac:dyDescent="0.35">
      <c r="B70" s="140" t="s">
        <v>289</v>
      </c>
      <c r="C70" s="125"/>
      <c r="D70" s="125"/>
      <c r="E70" s="125"/>
      <c r="F70" s="125"/>
      <c r="G70" s="9">
        <f>I26</f>
        <v>300000</v>
      </c>
      <c r="H70" s="11"/>
    </row>
    <row r="71" spans="2:8" x14ac:dyDescent="0.35">
      <c r="B71" s="31"/>
      <c r="C71" s="13"/>
      <c r="D71" s="13"/>
      <c r="E71" s="13"/>
      <c r="F71" s="13"/>
      <c r="G71" s="41">
        <f>G69-G70</f>
        <v>4250</v>
      </c>
      <c r="H71" s="11" t="s">
        <v>57</v>
      </c>
    </row>
    <row r="72" spans="2:8" x14ac:dyDescent="0.35">
      <c r="B72" s="31"/>
      <c r="C72" s="13"/>
      <c r="D72" s="13"/>
      <c r="E72" s="13"/>
      <c r="F72" s="13"/>
      <c r="G72" s="13"/>
      <c r="H72" s="11"/>
    </row>
    <row r="73" spans="2:8" x14ac:dyDescent="0.35">
      <c r="B73" s="45" t="s">
        <v>312</v>
      </c>
      <c r="C73" s="46"/>
      <c r="D73" s="46"/>
      <c r="E73" s="13"/>
      <c r="F73" s="13"/>
      <c r="G73" s="13"/>
      <c r="H73" s="11"/>
    </row>
    <row r="74" spans="2:8" x14ac:dyDescent="0.35">
      <c r="B74" s="140" t="s">
        <v>283</v>
      </c>
      <c r="C74" s="125"/>
      <c r="D74" s="125"/>
      <c r="E74" s="125"/>
      <c r="F74" s="125"/>
      <c r="G74" s="41">
        <f>H19</f>
        <v>94500</v>
      </c>
      <c r="H74" s="11"/>
    </row>
    <row r="75" spans="2:8" x14ac:dyDescent="0.35">
      <c r="B75" s="140" t="s">
        <v>290</v>
      </c>
      <c r="C75" s="125"/>
      <c r="D75" s="125"/>
      <c r="E75" s="125"/>
      <c r="F75" s="125"/>
      <c r="G75" s="9">
        <f>I27</f>
        <v>90000</v>
      </c>
      <c r="H75" s="11"/>
    </row>
    <row r="76" spans="2:8" x14ac:dyDescent="0.35">
      <c r="B76" s="31"/>
      <c r="C76" s="13"/>
      <c r="D76" s="13"/>
      <c r="E76" s="13"/>
      <c r="F76" s="13"/>
      <c r="G76" s="41">
        <f>G74-G75</f>
        <v>4500</v>
      </c>
      <c r="H76" s="11" t="s">
        <v>57</v>
      </c>
    </row>
    <row r="77" spans="2:8" x14ac:dyDescent="0.35">
      <c r="B77" s="31"/>
      <c r="C77" s="13"/>
      <c r="D77" s="13"/>
      <c r="E77" s="13"/>
      <c r="F77" s="13"/>
      <c r="G77" s="13"/>
      <c r="H77" s="11"/>
    </row>
    <row r="78" spans="2:8" x14ac:dyDescent="0.35">
      <c r="B78" s="45" t="s">
        <v>26</v>
      </c>
      <c r="C78" s="46"/>
      <c r="D78" s="46"/>
      <c r="E78" s="13"/>
      <c r="F78" s="13"/>
      <c r="G78" s="13"/>
      <c r="H78" s="11"/>
    </row>
    <row r="79" spans="2:8" x14ac:dyDescent="0.35">
      <c r="B79" s="140" t="s">
        <v>20</v>
      </c>
      <c r="C79" s="125"/>
      <c r="D79" s="125"/>
      <c r="E79" s="125"/>
      <c r="F79" s="125"/>
      <c r="G79" s="41">
        <f>H8</f>
        <v>301250</v>
      </c>
      <c r="H79" s="11"/>
    </row>
    <row r="80" spans="2:8" x14ac:dyDescent="0.35">
      <c r="B80" s="140" t="s">
        <v>21</v>
      </c>
      <c r="C80" s="125"/>
      <c r="D80" s="125"/>
      <c r="E80" s="125"/>
      <c r="F80" s="125"/>
      <c r="G80" s="9">
        <f>I15</f>
        <v>304250</v>
      </c>
      <c r="H80" s="11"/>
    </row>
    <row r="81" spans="2:10" x14ac:dyDescent="0.35">
      <c r="B81" s="31"/>
      <c r="C81" s="13"/>
      <c r="D81" s="13"/>
      <c r="E81" s="13"/>
      <c r="F81" s="13"/>
      <c r="G81" s="41">
        <f>G80-G79</f>
        <v>3000</v>
      </c>
      <c r="H81" s="11" t="s">
        <v>83</v>
      </c>
    </row>
    <row r="82" spans="2:10" x14ac:dyDescent="0.35">
      <c r="B82" s="31"/>
      <c r="C82" s="13"/>
      <c r="D82" s="13"/>
      <c r="E82" s="13"/>
      <c r="F82" s="13"/>
      <c r="G82" s="13"/>
      <c r="H82" s="11"/>
    </row>
    <row r="83" spans="2:10" x14ac:dyDescent="0.35">
      <c r="B83" s="31"/>
      <c r="C83" s="13"/>
      <c r="D83" s="13"/>
      <c r="E83" s="13"/>
      <c r="F83" s="13"/>
      <c r="G83" s="4"/>
      <c r="H83" s="11"/>
    </row>
    <row r="84" spans="2:10" x14ac:dyDescent="0.35">
      <c r="B84" s="162" t="s">
        <v>313</v>
      </c>
      <c r="C84" s="163"/>
      <c r="D84" s="163"/>
      <c r="E84" s="163"/>
      <c r="F84" s="163"/>
      <c r="G84" s="44">
        <f>G66+G71+G76-G81</f>
        <v>10750</v>
      </c>
      <c r="H84" s="48" t="s">
        <v>57</v>
      </c>
    </row>
    <row r="86" spans="2:10" x14ac:dyDescent="0.35">
      <c r="B86" s="27" t="s">
        <v>314</v>
      </c>
      <c r="C86" s="39"/>
      <c r="D86" s="39"/>
      <c r="E86" s="40"/>
      <c r="F86" s="12"/>
      <c r="G86" s="12"/>
      <c r="H86" s="12"/>
      <c r="I86" s="12"/>
      <c r="J86" s="10"/>
    </row>
    <row r="87" spans="2:10" x14ac:dyDescent="0.35">
      <c r="B87" s="45"/>
      <c r="C87" s="46" t="s">
        <v>39</v>
      </c>
      <c r="D87" s="46"/>
      <c r="E87" s="46"/>
      <c r="F87" s="46"/>
      <c r="G87" s="46"/>
      <c r="H87" s="46" t="s">
        <v>37</v>
      </c>
      <c r="I87" s="46" t="s">
        <v>38</v>
      </c>
      <c r="J87" s="87" t="s">
        <v>322</v>
      </c>
    </row>
    <row r="88" spans="2:10" x14ac:dyDescent="0.35">
      <c r="B88" s="104">
        <v>910</v>
      </c>
      <c r="C88" s="125" t="s">
        <v>317</v>
      </c>
      <c r="D88" s="125"/>
      <c r="E88" s="125"/>
      <c r="F88" s="125"/>
      <c r="G88" s="125"/>
      <c r="H88" s="41">
        <f>G66</f>
        <v>5000</v>
      </c>
      <c r="I88" s="13"/>
      <c r="J88" s="11"/>
    </row>
    <row r="89" spans="2:10" x14ac:dyDescent="0.35">
      <c r="B89" s="104">
        <v>911</v>
      </c>
      <c r="C89" s="125" t="s">
        <v>318</v>
      </c>
      <c r="D89" s="125"/>
      <c r="E89" s="125"/>
      <c r="F89" s="125"/>
      <c r="G89" s="125"/>
      <c r="H89" s="41">
        <f>G71</f>
        <v>4250</v>
      </c>
      <c r="I89" s="13"/>
      <c r="J89" s="11"/>
    </row>
    <row r="90" spans="2:10" x14ac:dyDescent="0.35">
      <c r="B90" s="104">
        <v>912</v>
      </c>
      <c r="C90" s="125" t="s">
        <v>319</v>
      </c>
      <c r="D90" s="125"/>
      <c r="E90" s="125"/>
      <c r="F90" s="125"/>
      <c r="G90" s="125"/>
      <c r="H90" s="41">
        <f>G76</f>
        <v>4500</v>
      </c>
      <c r="I90" s="13"/>
      <c r="J90" s="11"/>
    </row>
    <row r="91" spans="2:10" x14ac:dyDescent="0.35">
      <c r="B91" s="31" t="s">
        <v>315</v>
      </c>
      <c r="C91" s="125" t="s">
        <v>320</v>
      </c>
      <c r="D91" s="125"/>
      <c r="E91" s="125"/>
      <c r="F91" s="125"/>
      <c r="G91" s="125"/>
      <c r="H91" s="13"/>
      <c r="I91" s="41">
        <f>G81</f>
        <v>3000</v>
      </c>
      <c r="J91" s="11"/>
    </row>
    <row r="92" spans="2:10" x14ac:dyDescent="0.35">
      <c r="B92" s="31" t="s">
        <v>316</v>
      </c>
      <c r="C92" s="125" t="s">
        <v>3</v>
      </c>
      <c r="D92" s="125"/>
      <c r="E92" s="125"/>
      <c r="F92" s="125"/>
      <c r="G92" s="125"/>
      <c r="H92" s="13"/>
      <c r="I92" s="41">
        <f>G84</f>
        <v>10750</v>
      </c>
      <c r="J92" s="11"/>
    </row>
    <row r="93" spans="2:10" x14ac:dyDescent="0.35">
      <c r="B93" s="31"/>
      <c r="C93" s="13"/>
      <c r="D93" s="13"/>
      <c r="E93" s="13"/>
      <c r="F93" s="13"/>
      <c r="G93" s="13"/>
      <c r="H93" s="13"/>
      <c r="I93" s="13"/>
      <c r="J93" s="11"/>
    </row>
    <row r="94" spans="2:10" x14ac:dyDescent="0.35">
      <c r="B94" s="140" t="s">
        <v>330</v>
      </c>
      <c r="C94" s="125"/>
      <c r="D94" s="125"/>
      <c r="E94" s="125"/>
      <c r="F94" s="41">
        <f>I33</f>
        <v>1024000</v>
      </c>
      <c r="G94" s="13" t="s">
        <v>33</v>
      </c>
      <c r="H94" s="13"/>
      <c r="I94" s="13"/>
      <c r="J94" s="11"/>
    </row>
    <row r="95" spans="2:10" x14ac:dyDescent="0.35">
      <c r="B95" s="140" t="s">
        <v>331</v>
      </c>
      <c r="C95" s="125"/>
      <c r="D95" s="125"/>
      <c r="E95" s="125"/>
      <c r="F95" s="41">
        <f>H37</f>
        <v>608000</v>
      </c>
      <c r="G95" s="13" t="s">
        <v>152</v>
      </c>
      <c r="H95" s="13"/>
      <c r="I95" s="13"/>
      <c r="J95" s="11"/>
    </row>
    <row r="96" spans="2:10" x14ac:dyDescent="0.35">
      <c r="B96" s="140" t="s">
        <v>299</v>
      </c>
      <c r="C96" s="125"/>
      <c r="D96" s="125"/>
      <c r="E96" s="125"/>
      <c r="F96" s="9">
        <f>H42</f>
        <v>30720</v>
      </c>
      <c r="G96" s="13" t="s">
        <v>152</v>
      </c>
      <c r="H96" s="13"/>
      <c r="I96" s="13"/>
      <c r="J96" s="11"/>
    </row>
    <row r="97" spans="1:10" x14ac:dyDescent="0.35">
      <c r="B97" s="165" t="s">
        <v>332</v>
      </c>
      <c r="C97" s="166"/>
      <c r="D97" s="166"/>
      <c r="E97" s="166"/>
      <c r="F97" s="100">
        <f>F94-F95-F96</f>
        <v>385280</v>
      </c>
      <c r="G97" s="13"/>
      <c r="H97" s="13"/>
      <c r="I97" s="13"/>
      <c r="J97" s="11"/>
    </row>
    <row r="98" spans="1:10" x14ac:dyDescent="0.35">
      <c r="B98" s="31"/>
      <c r="C98" s="13"/>
      <c r="D98" s="13"/>
      <c r="E98" s="13"/>
      <c r="F98" s="13"/>
      <c r="G98" s="13"/>
      <c r="H98" s="13"/>
      <c r="I98" s="13"/>
      <c r="J98" s="11"/>
    </row>
    <row r="99" spans="1:10" x14ac:dyDescent="0.35">
      <c r="B99" s="31"/>
      <c r="C99" s="13"/>
      <c r="D99" s="13"/>
      <c r="E99" s="13"/>
      <c r="F99" s="13"/>
      <c r="G99" s="13"/>
      <c r="H99" s="13"/>
      <c r="I99" s="13"/>
      <c r="J99" s="11"/>
    </row>
    <row r="100" spans="1:10" x14ac:dyDescent="0.35">
      <c r="B100" s="45"/>
      <c r="C100" s="46" t="s">
        <v>39</v>
      </c>
      <c r="D100" s="46"/>
      <c r="E100" s="46"/>
      <c r="F100" s="46"/>
      <c r="G100" s="46"/>
      <c r="H100" s="46" t="s">
        <v>37</v>
      </c>
      <c r="I100" s="46" t="s">
        <v>38</v>
      </c>
      <c r="J100" s="87" t="s">
        <v>322</v>
      </c>
    </row>
    <row r="101" spans="1:10" x14ac:dyDescent="0.35">
      <c r="B101" s="104">
        <v>899</v>
      </c>
      <c r="C101" s="125" t="s">
        <v>334</v>
      </c>
      <c r="D101" s="125"/>
      <c r="E101" s="125"/>
      <c r="F101" s="125"/>
      <c r="G101" s="125"/>
      <c r="H101" s="41">
        <f>F97</f>
        <v>385280</v>
      </c>
      <c r="I101" s="13"/>
      <c r="J101" s="11"/>
    </row>
    <row r="102" spans="1:10" x14ac:dyDescent="0.35">
      <c r="B102" s="32" t="s">
        <v>333</v>
      </c>
      <c r="C102" s="124" t="s">
        <v>335</v>
      </c>
      <c r="D102" s="124"/>
      <c r="E102" s="124"/>
      <c r="F102" s="124"/>
      <c r="G102" s="124"/>
      <c r="H102" s="21"/>
      <c r="I102" s="9">
        <f>F97</f>
        <v>385280</v>
      </c>
      <c r="J102" s="33"/>
    </row>
    <row r="103" spans="1:10" ht="15" thickBot="1" x14ac:dyDescent="0.4"/>
    <row r="104" spans="1:10" ht="15.5" thickTop="1" thickBot="1" x14ac:dyDescent="0.4">
      <c r="A104" s="110" t="s">
        <v>30</v>
      </c>
      <c r="B104" s="149" t="s">
        <v>336</v>
      </c>
      <c r="C104" s="150"/>
      <c r="D104" s="150"/>
      <c r="E104" s="150"/>
      <c r="F104" s="150"/>
      <c r="G104" s="150"/>
      <c r="H104" s="28" t="s">
        <v>57</v>
      </c>
      <c r="I104" s="36" t="s">
        <v>83</v>
      </c>
    </row>
    <row r="105" spans="1:10" ht="15" thickTop="1" x14ac:dyDescent="0.35">
      <c r="B105" s="140" t="str">
        <f>C102</f>
        <v>Dekkingsbijdrage</v>
      </c>
      <c r="C105" s="125"/>
      <c r="D105" s="125"/>
      <c r="E105" s="125"/>
      <c r="F105" s="125"/>
      <c r="G105" s="125"/>
      <c r="H105" s="13"/>
      <c r="I105" s="75">
        <f>I102</f>
        <v>385280</v>
      </c>
    </row>
    <row r="106" spans="1:10" x14ac:dyDescent="0.35">
      <c r="B106" s="140" t="s">
        <v>310</v>
      </c>
      <c r="C106" s="125"/>
      <c r="D106" s="125"/>
      <c r="E106" s="125"/>
      <c r="F106" s="125"/>
      <c r="G106" s="125"/>
      <c r="H106" s="41">
        <f>H88+H89+H90</f>
        <v>13750</v>
      </c>
      <c r="I106" s="11"/>
    </row>
    <row r="107" spans="1:10" x14ac:dyDescent="0.35">
      <c r="B107" s="140" t="s">
        <v>337</v>
      </c>
      <c r="C107" s="125"/>
      <c r="D107" s="125"/>
      <c r="E107" s="125"/>
      <c r="F107" s="125"/>
      <c r="G107" s="125"/>
      <c r="H107" s="13"/>
      <c r="I107" s="75">
        <f>I91</f>
        <v>3000</v>
      </c>
    </row>
    <row r="108" spans="1:10" x14ac:dyDescent="0.35">
      <c r="B108" s="140" t="s">
        <v>309</v>
      </c>
      <c r="C108" s="125"/>
      <c r="D108" s="125"/>
      <c r="E108" s="125"/>
      <c r="F108" s="125"/>
      <c r="G108" s="125"/>
      <c r="H108" s="13"/>
      <c r="I108" s="75">
        <f>G56</f>
        <v>20</v>
      </c>
    </row>
    <row r="109" spans="1:10" x14ac:dyDescent="0.35">
      <c r="B109" s="140" t="s">
        <v>279</v>
      </c>
      <c r="C109" s="125"/>
      <c r="D109" s="125"/>
      <c r="E109" s="125"/>
      <c r="F109" s="125"/>
      <c r="G109" s="125"/>
      <c r="H109" s="9">
        <f>H9</f>
        <v>338520</v>
      </c>
      <c r="I109" s="33"/>
    </row>
    <row r="110" spans="1:10" x14ac:dyDescent="0.35">
      <c r="B110" s="31"/>
      <c r="C110" s="13"/>
      <c r="D110" s="13"/>
      <c r="E110" s="13"/>
      <c r="F110" s="13"/>
      <c r="G110" s="13"/>
      <c r="H110" s="30">
        <f>SUM(H105:H109)</f>
        <v>352270</v>
      </c>
      <c r="I110" s="75">
        <f>SUM(I105:I109)</f>
        <v>388300</v>
      </c>
    </row>
    <row r="111" spans="1:10" x14ac:dyDescent="0.35">
      <c r="B111" s="31"/>
      <c r="C111" s="13"/>
      <c r="D111" s="13"/>
      <c r="E111" s="13"/>
      <c r="F111" s="13"/>
      <c r="G111" s="13"/>
      <c r="H111" s="13"/>
      <c r="I111" s="75"/>
    </row>
    <row r="112" spans="1:10" x14ac:dyDescent="0.35">
      <c r="B112" s="169" t="s">
        <v>338</v>
      </c>
      <c r="C112" s="170"/>
      <c r="D112" s="170"/>
      <c r="E112" s="170"/>
      <c r="F112" s="170"/>
      <c r="G112" s="170"/>
      <c r="H112" s="21"/>
      <c r="I112" s="111">
        <f>I110-H110</f>
        <v>36030</v>
      </c>
    </row>
    <row r="114" spans="1:15" x14ac:dyDescent="0.35">
      <c r="A114" s="23" t="s">
        <v>339</v>
      </c>
      <c r="B114" s="65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2"/>
      <c r="N114" s="12"/>
      <c r="O114" s="10"/>
    </row>
    <row r="115" spans="1:15" x14ac:dyDescent="0.35">
      <c r="A115" s="23" t="s">
        <v>321</v>
      </c>
      <c r="B115" s="140" t="s">
        <v>340</v>
      </c>
      <c r="C115" s="125"/>
      <c r="D115" s="125"/>
      <c r="E115" s="125"/>
      <c r="F115" s="125"/>
      <c r="G115" s="125"/>
      <c r="H115" s="107">
        <f>10*5</f>
        <v>50</v>
      </c>
      <c r="I115" s="13"/>
      <c r="J115" s="13"/>
      <c r="K115" s="13"/>
      <c r="L115" s="13"/>
      <c r="M115" s="13"/>
      <c r="N115" s="13"/>
      <c r="O115" s="11"/>
    </row>
    <row r="116" spans="1:15" x14ac:dyDescent="0.35">
      <c r="B116" s="140" t="s">
        <v>341</v>
      </c>
      <c r="C116" s="125"/>
      <c r="D116" s="125"/>
      <c r="E116" s="125"/>
      <c r="F116" s="125"/>
      <c r="G116" s="125"/>
      <c r="H116" s="107">
        <f>2*25</f>
        <v>50</v>
      </c>
      <c r="I116" s="13"/>
      <c r="J116" s="13"/>
      <c r="K116" s="13"/>
      <c r="L116" s="13"/>
      <c r="M116" s="13"/>
      <c r="N116" s="13"/>
      <c r="O116" s="11"/>
    </row>
    <row r="117" spans="1:15" x14ac:dyDescent="0.35">
      <c r="B117" s="140" t="s">
        <v>342</v>
      </c>
      <c r="C117" s="125"/>
      <c r="D117" s="125"/>
      <c r="E117" s="125"/>
      <c r="F117" s="125"/>
      <c r="G117" s="125"/>
      <c r="H117" s="108">
        <f>0.5*10</f>
        <v>5</v>
      </c>
      <c r="I117" s="13"/>
      <c r="J117" s="13"/>
      <c r="K117" s="13"/>
      <c r="L117" s="13"/>
      <c r="M117" s="13"/>
      <c r="N117" s="13"/>
      <c r="O117" s="11"/>
    </row>
    <row r="118" spans="1:15" x14ac:dyDescent="0.35">
      <c r="B118" s="165" t="s">
        <v>343</v>
      </c>
      <c r="C118" s="166"/>
      <c r="D118" s="166"/>
      <c r="E118" s="166"/>
      <c r="F118" s="166"/>
      <c r="G118" s="166"/>
      <c r="H118" s="107">
        <f>SUM(H115:H117)</f>
        <v>105</v>
      </c>
      <c r="I118" s="13"/>
      <c r="J118" s="13"/>
      <c r="K118" s="13"/>
      <c r="L118" s="13"/>
      <c r="M118" s="13"/>
      <c r="N118" s="13"/>
      <c r="O118" s="11"/>
    </row>
    <row r="119" spans="1:15" x14ac:dyDescent="0.35">
      <c r="B119" s="31"/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3"/>
      <c r="N119" s="13"/>
      <c r="O119" s="11"/>
    </row>
    <row r="120" spans="1:15" x14ac:dyDescent="0.35">
      <c r="B120" s="167" t="s">
        <v>347</v>
      </c>
      <c r="C120" s="168"/>
      <c r="D120" s="168"/>
      <c r="E120" s="168"/>
      <c r="F120" s="13"/>
      <c r="G120" s="13"/>
      <c r="H120" s="13"/>
      <c r="I120" s="13"/>
      <c r="J120" s="13"/>
      <c r="K120" s="13"/>
      <c r="L120" s="13"/>
      <c r="M120" s="13"/>
      <c r="N120" s="13"/>
      <c r="O120" s="11"/>
    </row>
    <row r="121" spans="1:15" x14ac:dyDescent="0.35">
      <c r="B121" s="158" t="s">
        <v>344</v>
      </c>
      <c r="C121" s="159"/>
      <c r="D121" s="159"/>
      <c r="E121" s="30">
        <v>105</v>
      </c>
      <c r="F121" s="13"/>
      <c r="G121" s="13"/>
      <c r="H121" s="13"/>
      <c r="I121" s="13"/>
      <c r="J121" s="13"/>
      <c r="K121" s="13"/>
      <c r="L121" s="13"/>
      <c r="M121" s="13"/>
      <c r="N121" s="13"/>
      <c r="O121" s="11"/>
    </row>
    <row r="122" spans="1:15" x14ac:dyDescent="0.35">
      <c r="B122" s="156" t="s">
        <v>345</v>
      </c>
      <c r="C122" s="157"/>
      <c r="D122" s="157"/>
      <c r="E122" s="30">
        <f>500*105</f>
        <v>52500</v>
      </c>
      <c r="F122" s="13"/>
      <c r="G122" s="13"/>
      <c r="H122" s="13"/>
      <c r="I122" s="13"/>
      <c r="J122" s="13"/>
      <c r="K122" s="13"/>
      <c r="L122" s="13"/>
      <c r="M122" s="13"/>
      <c r="N122" s="13"/>
      <c r="O122" s="11"/>
    </row>
    <row r="123" spans="1:15" x14ac:dyDescent="0.35">
      <c r="B123" s="31"/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3"/>
      <c r="N123" s="13"/>
      <c r="O123" s="11"/>
    </row>
    <row r="124" spans="1:15" x14ac:dyDescent="0.35">
      <c r="B124" s="167" t="s">
        <v>346</v>
      </c>
      <c r="C124" s="168"/>
      <c r="D124" s="168"/>
      <c r="E124" s="168"/>
      <c r="F124" s="168"/>
      <c r="G124" s="13"/>
      <c r="H124" s="13"/>
      <c r="I124" s="13"/>
      <c r="J124" s="13"/>
      <c r="K124" s="13"/>
      <c r="L124" s="13"/>
      <c r="M124" s="13"/>
      <c r="N124" s="13"/>
      <c r="O124" s="11"/>
    </row>
    <row r="125" spans="1:15" x14ac:dyDescent="0.35">
      <c r="B125" s="158" t="str">
        <f>B121</f>
        <v>500 eenheden Costa</v>
      </c>
      <c r="C125" s="159"/>
      <c r="D125" s="159"/>
      <c r="E125" s="30">
        <v>115</v>
      </c>
      <c r="F125" s="13"/>
      <c r="G125" s="13"/>
      <c r="H125" s="13"/>
      <c r="I125" s="13"/>
      <c r="J125" s="13"/>
      <c r="K125" s="13"/>
      <c r="L125" s="13"/>
      <c r="M125" s="13"/>
      <c r="N125" s="13"/>
      <c r="O125" s="11"/>
    </row>
    <row r="126" spans="1:15" x14ac:dyDescent="0.35">
      <c r="B126" s="156" t="s">
        <v>348</v>
      </c>
      <c r="C126" s="157"/>
      <c r="D126" s="157"/>
      <c r="E126" s="30">
        <f>500*115</f>
        <v>57500</v>
      </c>
      <c r="F126" s="13"/>
      <c r="G126" s="13"/>
      <c r="H126" s="13"/>
      <c r="I126" s="13"/>
      <c r="J126" s="13"/>
      <c r="K126" s="13"/>
      <c r="L126" s="13"/>
      <c r="M126" s="13"/>
      <c r="N126" s="13"/>
      <c r="O126" s="11"/>
    </row>
    <row r="127" spans="1:15" x14ac:dyDescent="0.35">
      <c r="B127" s="31"/>
      <c r="C127" s="13"/>
      <c r="D127" s="13"/>
      <c r="E127" s="13"/>
      <c r="F127" s="13"/>
      <c r="G127" s="13"/>
      <c r="H127" s="13"/>
      <c r="I127" s="13"/>
      <c r="J127" s="13"/>
      <c r="K127" s="13"/>
      <c r="L127" s="13"/>
      <c r="M127" s="13"/>
      <c r="N127" s="13"/>
      <c r="O127" s="11"/>
    </row>
    <row r="128" spans="1:15" x14ac:dyDescent="0.35">
      <c r="B128" s="32" t="s">
        <v>349</v>
      </c>
      <c r="C128" s="21"/>
      <c r="D128" s="21"/>
      <c r="E128" s="21"/>
      <c r="F128" s="21"/>
      <c r="G128" s="21"/>
      <c r="H128" s="21"/>
      <c r="I128" s="21"/>
      <c r="J128" s="21"/>
      <c r="K128" s="21"/>
      <c r="L128" s="21"/>
      <c r="M128" s="21"/>
      <c r="N128" s="21"/>
      <c r="O128" s="33"/>
    </row>
    <row r="130" spans="1:10" x14ac:dyDescent="0.35">
      <c r="A130" s="23" t="s">
        <v>323</v>
      </c>
      <c r="B130" s="149" t="s">
        <v>350</v>
      </c>
      <c r="C130" s="150"/>
      <c r="D130" s="12"/>
      <c r="E130" s="12"/>
      <c r="F130" s="12"/>
      <c r="G130" s="12"/>
      <c r="H130" s="12"/>
      <c r="I130" s="12"/>
      <c r="J130" s="10"/>
    </row>
    <row r="131" spans="1:10" x14ac:dyDescent="0.35">
      <c r="B131" s="45"/>
      <c r="C131" s="46" t="s">
        <v>39</v>
      </c>
      <c r="D131" s="46"/>
      <c r="E131" s="46"/>
      <c r="F131" s="46"/>
      <c r="G131" s="46"/>
      <c r="H131" s="46" t="s">
        <v>37</v>
      </c>
      <c r="I131" s="46" t="s">
        <v>38</v>
      </c>
      <c r="J131" s="87" t="s">
        <v>322</v>
      </c>
    </row>
    <row r="132" spans="1:10" x14ac:dyDescent="0.35">
      <c r="B132" s="104">
        <v>990</v>
      </c>
      <c r="C132" s="125" t="s">
        <v>279</v>
      </c>
      <c r="D132" s="125"/>
      <c r="E132" s="125"/>
      <c r="F132" s="125"/>
      <c r="G132" s="125"/>
      <c r="H132" s="30">
        <f>500*0.5*20</f>
        <v>5000</v>
      </c>
      <c r="I132" s="30"/>
      <c r="J132" s="11" t="s">
        <v>352</v>
      </c>
    </row>
    <row r="133" spans="1:10" x14ac:dyDescent="0.35">
      <c r="B133" s="32" t="s">
        <v>219</v>
      </c>
      <c r="C133" s="124" t="s">
        <v>351</v>
      </c>
      <c r="D133" s="124"/>
      <c r="E133" s="124"/>
      <c r="F133" s="124"/>
      <c r="G133" s="124"/>
      <c r="H133" s="17"/>
      <c r="I133" s="17">
        <f>H132</f>
        <v>5000</v>
      </c>
      <c r="J133" s="33"/>
    </row>
    <row r="135" spans="1:10" x14ac:dyDescent="0.35">
      <c r="A135" s="23" t="s">
        <v>30</v>
      </c>
      <c r="B135" s="65"/>
      <c r="C135" s="12"/>
      <c r="D135" s="12"/>
      <c r="E135" s="12"/>
      <c r="F135" s="12"/>
      <c r="G135" s="12"/>
      <c r="H135" s="12"/>
      <c r="I135" s="12"/>
      <c r="J135" s="10"/>
    </row>
    <row r="136" spans="1:10" x14ac:dyDescent="0.35">
      <c r="B136" s="45"/>
      <c r="C136" s="46" t="s">
        <v>39</v>
      </c>
      <c r="D136" s="46"/>
      <c r="E136" s="46"/>
      <c r="F136" s="46"/>
      <c r="G136" s="46"/>
      <c r="H136" s="46" t="s">
        <v>37</v>
      </c>
      <c r="I136" s="46" t="s">
        <v>38</v>
      </c>
      <c r="J136" s="87" t="s">
        <v>322</v>
      </c>
    </row>
    <row r="137" spans="1:10" x14ac:dyDescent="0.35">
      <c r="B137" s="104">
        <v>600</v>
      </c>
      <c r="C137" s="125" t="s">
        <v>353</v>
      </c>
      <c r="D137" s="125"/>
      <c r="E137" s="125"/>
      <c r="F137" s="125"/>
      <c r="G137" s="125"/>
      <c r="H137" s="30">
        <f>98900*5</f>
        <v>494500</v>
      </c>
      <c r="I137" s="30"/>
      <c r="J137" s="11" t="s">
        <v>354</v>
      </c>
    </row>
    <row r="138" spans="1:10" x14ac:dyDescent="0.35">
      <c r="B138" s="31" t="s">
        <v>186</v>
      </c>
      <c r="C138" s="125" t="s">
        <v>176</v>
      </c>
      <c r="D138" s="125"/>
      <c r="E138" s="125"/>
      <c r="F138" s="125"/>
      <c r="G138" s="125"/>
      <c r="H138" s="30"/>
      <c r="I138" s="30">
        <f>H137</f>
        <v>494500</v>
      </c>
      <c r="J138" s="11"/>
    </row>
    <row r="139" spans="1:10" x14ac:dyDescent="0.35">
      <c r="B139" s="31"/>
      <c r="C139" s="13"/>
      <c r="D139" s="13"/>
      <c r="E139" s="13"/>
      <c r="F139" s="13"/>
      <c r="G139" s="13"/>
      <c r="H139" s="13"/>
      <c r="I139" s="13"/>
      <c r="J139" s="11"/>
    </row>
    <row r="140" spans="1:10" x14ac:dyDescent="0.35">
      <c r="B140" s="31"/>
      <c r="C140" s="13"/>
      <c r="D140" s="13"/>
      <c r="E140" s="13"/>
      <c r="F140" s="13"/>
      <c r="G140" s="13"/>
      <c r="H140" s="13"/>
      <c r="I140" s="13"/>
      <c r="J140" s="11"/>
    </row>
    <row r="141" spans="1:10" x14ac:dyDescent="0.35">
      <c r="B141" s="45"/>
      <c r="C141" s="46" t="s">
        <v>39</v>
      </c>
      <c r="D141" s="46"/>
      <c r="E141" s="46"/>
      <c r="F141" s="46"/>
      <c r="G141" s="46"/>
      <c r="H141" s="46" t="s">
        <v>37</v>
      </c>
      <c r="I141" s="46" t="s">
        <v>38</v>
      </c>
      <c r="J141" s="87" t="s">
        <v>322</v>
      </c>
    </row>
    <row r="142" spans="1:10" x14ac:dyDescent="0.35">
      <c r="B142" s="104">
        <v>630</v>
      </c>
      <c r="C142" s="125" t="s">
        <v>20</v>
      </c>
      <c r="D142" s="125"/>
      <c r="E142" s="125"/>
      <c r="F142" s="125"/>
      <c r="G142" s="125"/>
      <c r="H142" s="30">
        <v>502000</v>
      </c>
      <c r="I142" s="30"/>
      <c r="J142" s="11"/>
    </row>
    <row r="143" spans="1:10" x14ac:dyDescent="0.35">
      <c r="B143" s="31" t="s">
        <v>178</v>
      </c>
      <c r="C143" s="125" t="s">
        <v>355</v>
      </c>
      <c r="D143" s="125"/>
      <c r="E143" s="125"/>
      <c r="F143" s="125"/>
      <c r="G143" s="125"/>
      <c r="H143" s="30"/>
      <c r="I143" s="30">
        <f>H142</f>
        <v>502000</v>
      </c>
      <c r="J143" s="11"/>
    </row>
    <row r="144" spans="1:10" x14ac:dyDescent="0.35">
      <c r="B144" s="31"/>
      <c r="C144" s="13"/>
      <c r="D144" s="13"/>
      <c r="E144" s="13"/>
      <c r="F144" s="13"/>
      <c r="G144" s="13"/>
      <c r="H144" s="13"/>
      <c r="I144" s="13"/>
      <c r="J144" s="11"/>
    </row>
    <row r="145" spans="2:10" x14ac:dyDescent="0.35">
      <c r="B145" s="31"/>
      <c r="C145" s="13"/>
      <c r="D145" s="13"/>
      <c r="E145" s="13"/>
      <c r="F145" s="13"/>
      <c r="G145" s="13"/>
      <c r="H145" s="13"/>
      <c r="I145" s="13"/>
      <c r="J145" s="11"/>
    </row>
    <row r="146" spans="2:10" x14ac:dyDescent="0.35">
      <c r="B146" s="45"/>
      <c r="C146" s="46" t="s">
        <v>39</v>
      </c>
      <c r="D146" s="46"/>
      <c r="E146" s="46"/>
      <c r="F146" s="46"/>
      <c r="G146" s="46"/>
      <c r="H146" s="46" t="s">
        <v>37</v>
      </c>
      <c r="I146" s="46" t="s">
        <v>38</v>
      </c>
      <c r="J146" s="87" t="s">
        <v>322</v>
      </c>
    </row>
    <row r="147" spans="2:10" x14ac:dyDescent="0.35">
      <c r="B147" s="104">
        <v>550</v>
      </c>
      <c r="C147" s="125" t="s">
        <v>277</v>
      </c>
      <c r="D147" s="125"/>
      <c r="E147" s="125"/>
      <c r="F147" s="125"/>
      <c r="G147" s="125"/>
      <c r="H147" s="30">
        <v>97350</v>
      </c>
      <c r="I147" s="30"/>
      <c r="J147" s="11"/>
    </row>
    <row r="148" spans="2:10" x14ac:dyDescent="0.35">
      <c r="B148" s="104">
        <v>560</v>
      </c>
      <c r="C148" s="125" t="s">
        <v>278</v>
      </c>
      <c r="D148" s="125"/>
      <c r="E148" s="125"/>
      <c r="F148" s="125"/>
      <c r="G148" s="125"/>
      <c r="H148" s="30">
        <v>39400</v>
      </c>
      <c r="I148" s="30"/>
      <c r="J148" s="11"/>
    </row>
    <row r="149" spans="2:10" x14ac:dyDescent="0.35">
      <c r="B149" s="31" t="s">
        <v>357</v>
      </c>
      <c r="C149" s="125" t="s">
        <v>128</v>
      </c>
      <c r="D149" s="125"/>
      <c r="E149" s="125"/>
      <c r="F149" s="125"/>
      <c r="G149" s="125"/>
      <c r="H149" s="30"/>
      <c r="I149" s="30">
        <f>20700+18400</f>
        <v>39100</v>
      </c>
      <c r="J149" s="11" t="s">
        <v>356</v>
      </c>
    </row>
    <row r="150" spans="2:10" x14ac:dyDescent="0.35">
      <c r="B150" s="31" t="s">
        <v>100</v>
      </c>
      <c r="C150" s="125" t="s">
        <v>3</v>
      </c>
      <c r="D150" s="125"/>
      <c r="E150" s="125"/>
      <c r="F150" s="125"/>
      <c r="G150" s="125"/>
      <c r="H150" s="30"/>
      <c r="I150" s="30">
        <f>H147+H148-I149</f>
        <v>97650</v>
      </c>
      <c r="J150" s="11"/>
    </row>
    <row r="151" spans="2:10" x14ac:dyDescent="0.35">
      <c r="B151" s="31"/>
      <c r="C151" s="103"/>
      <c r="D151" s="103"/>
      <c r="E151" s="103"/>
      <c r="F151" s="103"/>
      <c r="G151" s="103"/>
      <c r="H151" s="13"/>
      <c r="I151" s="13"/>
      <c r="J151" s="11"/>
    </row>
    <row r="152" spans="2:10" x14ac:dyDescent="0.35">
      <c r="B152" s="147" t="s">
        <v>358</v>
      </c>
      <c r="C152" s="148"/>
      <c r="D152" s="148"/>
      <c r="E152" s="148"/>
      <c r="F152" s="148"/>
      <c r="G152" s="46" t="s">
        <v>322</v>
      </c>
      <c r="H152" s="13"/>
      <c r="I152" s="13"/>
      <c r="J152" s="11"/>
    </row>
    <row r="153" spans="2:10" x14ac:dyDescent="0.35">
      <c r="B153" s="140" t="s">
        <v>359</v>
      </c>
      <c r="C153" s="125"/>
      <c r="D153" s="125"/>
      <c r="E153" s="125"/>
      <c r="F153" s="30">
        <f>5000*20</f>
        <v>100000</v>
      </c>
      <c r="G153" s="13" t="s">
        <v>361</v>
      </c>
      <c r="H153" s="13"/>
      <c r="I153" s="13"/>
      <c r="J153" s="11"/>
    </row>
    <row r="154" spans="2:10" x14ac:dyDescent="0.35">
      <c r="B154" s="140" t="s">
        <v>360</v>
      </c>
      <c r="C154" s="125"/>
      <c r="D154" s="125"/>
      <c r="E154" s="125"/>
      <c r="F154" s="17">
        <f>10000*6</f>
        <v>60000</v>
      </c>
      <c r="G154" s="13" t="s">
        <v>362</v>
      </c>
      <c r="H154" s="13"/>
      <c r="I154" s="13"/>
      <c r="J154" s="11"/>
    </row>
    <row r="155" spans="2:10" x14ac:dyDescent="0.35">
      <c r="B155" s="156" t="s">
        <v>363</v>
      </c>
      <c r="C155" s="157"/>
      <c r="D155" s="157"/>
      <c r="E155" s="157"/>
      <c r="F155" s="112">
        <f>SUM(F153:F154)</f>
        <v>160000</v>
      </c>
      <c r="G155" s="13"/>
      <c r="H155" s="13"/>
      <c r="I155" s="13"/>
      <c r="J155" s="11"/>
    </row>
    <row r="156" spans="2:10" x14ac:dyDescent="0.35">
      <c r="B156" s="31"/>
      <c r="C156" s="13"/>
      <c r="D156" s="13"/>
      <c r="E156" s="13"/>
      <c r="F156" s="13"/>
      <c r="G156" s="13"/>
      <c r="H156" s="13"/>
      <c r="I156" s="13"/>
      <c r="J156" s="11"/>
    </row>
    <row r="157" spans="2:10" x14ac:dyDescent="0.35">
      <c r="B157" s="45"/>
      <c r="C157" s="46" t="s">
        <v>39</v>
      </c>
      <c r="D157" s="46"/>
      <c r="E157" s="46"/>
      <c r="F157" s="46"/>
      <c r="G157" s="46"/>
      <c r="H157" s="46" t="s">
        <v>37</v>
      </c>
      <c r="I157" s="46" t="s">
        <v>38</v>
      </c>
      <c r="J157" s="87" t="s">
        <v>322</v>
      </c>
    </row>
    <row r="158" spans="2:10" x14ac:dyDescent="0.35">
      <c r="B158" s="104">
        <v>990</v>
      </c>
      <c r="C158" s="171" t="s">
        <v>279</v>
      </c>
      <c r="D158" s="171"/>
      <c r="E158" s="171"/>
      <c r="F158" s="171"/>
      <c r="G158" s="171"/>
      <c r="H158" s="41">
        <f>F155</f>
        <v>160000</v>
      </c>
      <c r="I158" s="13"/>
      <c r="J158" s="11"/>
    </row>
    <row r="159" spans="2:10" x14ac:dyDescent="0.35">
      <c r="B159" s="104" t="s">
        <v>100</v>
      </c>
      <c r="C159" s="125" t="s">
        <v>3</v>
      </c>
      <c r="D159" s="125"/>
      <c r="E159" s="125"/>
      <c r="F159" s="125"/>
      <c r="G159" s="125"/>
      <c r="H159" s="13"/>
      <c r="I159" s="41">
        <f>H158</f>
        <v>160000</v>
      </c>
      <c r="J159" s="11"/>
    </row>
    <row r="160" spans="2:10" x14ac:dyDescent="0.35">
      <c r="B160" s="104"/>
      <c r="C160" s="13"/>
      <c r="D160" s="13"/>
      <c r="E160" s="13"/>
      <c r="F160" s="13"/>
      <c r="G160" s="13"/>
      <c r="H160" s="13"/>
      <c r="I160" s="13"/>
      <c r="J160" s="11"/>
    </row>
    <row r="161" spans="2:10" x14ac:dyDescent="0.35">
      <c r="B161" s="104"/>
      <c r="C161" s="13"/>
      <c r="D161" s="13"/>
      <c r="E161" s="13"/>
      <c r="F161" s="13"/>
      <c r="G161" s="13"/>
      <c r="H161" s="13"/>
      <c r="I161" s="13"/>
      <c r="J161" s="11"/>
    </row>
    <row r="162" spans="2:10" x14ac:dyDescent="0.35">
      <c r="B162" s="113"/>
      <c r="C162" s="46" t="s">
        <v>39</v>
      </c>
      <c r="D162" s="46"/>
      <c r="E162" s="46"/>
      <c r="F162" s="46"/>
      <c r="G162" s="46"/>
      <c r="H162" s="46" t="s">
        <v>37</v>
      </c>
      <c r="I162" s="46" t="s">
        <v>38</v>
      </c>
      <c r="J162" s="87" t="s">
        <v>322</v>
      </c>
    </row>
    <row r="163" spans="2:10" x14ac:dyDescent="0.35">
      <c r="B163" s="104">
        <v>601</v>
      </c>
      <c r="C163" s="125" t="s">
        <v>260</v>
      </c>
      <c r="D163" s="125"/>
      <c r="E163" s="125"/>
      <c r="F163" s="125"/>
      <c r="G163" s="125"/>
      <c r="H163" s="114">
        <f>19975*25</f>
        <v>499375</v>
      </c>
      <c r="I163" s="114"/>
      <c r="J163" s="11" t="s">
        <v>371</v>
      </c>
    </row>
    <row r="164" spans="2:10" x14ac:dyDescent="0.35">
      <c r="B164" s="104" t="s">
        <v>282</v>
      </c>
      <c r="C164" s="125" t="s">
        <v>21</v>
      </c>
      <c r="D164" s="125"/>
      <c r="E164" s="125"/>
      <c r="F164" s="125"/>
      <c r="G164" s="125"/>
      <c r="H164" s="114"/>
      <c r="I164" s="114">
        <f>H163</f>
        <v>499375</v>
      </c>
      <c r="J164" s="11"/>
    </row>
    <row r="165" spans="2:10" x14ac:dyDescent="0.35">
      <c r="B165" s="104"/>
      <c r="C165" s="13"/>
      <c r="D165" s="13"/>
      <c r="E165" s="13"/>
      <c r="F165" s="13"/>
      <c r="G165" s="13"/>
      <c r="H165" s="13"/>
      <c r="I165" s="13"/>
      <c r="J165" s="11"/>
    </row>
    <row r="166" spans="2:10" x14ac:dyDescent="0.35">
      <c r="B166" s="104"/>
      <c r="C166" s="13"/>
      <c r="D166" s="13"/>
      <c r="E166" s="13"/>
      <c r="F166" s="13"/>
      <c r="G166" s="13"/>
      <c r="H166" s="13"/>
      <c r="I166" s="13"/>
      <c r="J166" s="11"/>
    </row>
    <row r="167" spans="2:10" x14ac:dyDescent="0.35">
      <c r="B167" s="113"/>
      <c r="C167" s="46" t="s">
        <v>39</v>
      </c>
      <c r="D167" s="46"/>
      <c r="E167" s="46"/>
      <c r="F167" s="46"/>
      <c r="G167" s="46"/>
      <c r="H167" s="46" t="s">
        <v>37</v>
      </c>
      <c r="I167" s="46" t="s">
        <v>38</v>
      </c>
      <c r="J167" s="87" t="s">
        <v>322</v>
      </c>
    </row>
    <row r="168" spans="2:10" x14ac:dyDescent="0.35">
      <c r="B168" s="104">
        <v>602</v>
      </c>
      <c r="C168" s="125" t="s">
        <v>366</v>
      </c>
      <c r="D168" s="125"/>
      <c r="E168" s="125"/>
      <c r="F168" s="125"/>
      <c r="G168" s="125"/>
      <c r="H168" s="30">
        <f>4980*10</f>
        <v>49800</v>
      </c>
      <c r="I168" s="30"/>
      <c r="J168" s="11" t="s">
        <v>372</v>
      </c>
    </row>
    <row r="169" spans="2:10" x14ac:dyDescent="0.35">
      <c r="B169" s="104" t="s">
        <v>364</v>
      </c>
      <c r="C169" s="125" t="s">
        <v>284</v>
      </c>
      <c r="D169" s="125"/>
      <c r="E169" s="125"/>
      <c r="F169" s="125"/>
      <c r="G169" s="125"/>
      <c r="H169" s="30"/>
      <c r="I169" s="30">
        <f>H168</f>
        <v>49800</v>
      </c>
      <c r="J169" s="11"/>
    </row>
    <row r="170" spans="2:10" x14ac:dyDescent="0.35">
      <c r="B170" s="104"/>
      <c r="C170" s="13"/>
      <c r="D170" s="13"/>
      <c r="E170" s="13"/>
      <c r="F170" s="13"/>
      <c r="G170" s="13"/>
      <c r="H170" s="13"/>
      <c r="I170" s="13"/>
      <c r="J170" s="11"/>
    </row>
    <row r="171" spans="2:10" x14ac:dyDescent="0.35">
      <c r="B171" s="104"/>
      <c r="C171" s="13"/>
      <c r="D171" s="13"/>
      <c r="E171" s="13"/>
      <c r="F171" s="13"/>
      <c r="G171" s="13"/>
      <c r="H171" s="13"/>
      <c r="I171" s="13"/>
      <c r="J171" s="11"/>
    </row>
    <row r="172" spans="2:10" x14ac:dyDescent="0.35">
      <c r="B172" s="113"/>
      <c r="C172" s="46" t="s">
        <v>39</v>
      </c>
      <c r="D172" s="46"/>
      <c r="E172" s="46"/>
      <c r="F172" s="46"/>
      <c r="G172" s="46"/>
      <c r="H172" s="46" t="s">
        <v>37</v>
      </c>
      <c r="I172" s="46" t="s">
        <v>38</v>
      </c>
      <c r="J172" s="87" t="s">
        <v>322</v>
      </c>
    </row>
    <row r="173" spans="2:10" x14ac:dyDescent="0.35">
      <c r="B173" s="104">
        <v>700</v>
      </c>
      <c r="C173" s="125" t="s">
        <v>22</v>
      </c>
      <c r="D173" s="125"/>
      <c r="E173" s="125"/>
      <c r="F173" s="125"/>
      <c r="G173" s="125"/>
      <c r="H173" s="13">
        <f>9850*105</f>
        <v>1034250</v>
      </c>
      <c r="I173" s="13"/>
      <c r="J173" s="11" t="s">
        <v>373</v>
      </c>
    </row>
    <row r="174" spans="2:10" x14ac:dyDescent="0.35">
      <c r="B174" s="104" t="s">
        <v>211</v>
      </c>
      <c r="C174" s="125" t="s">
        <v>367</v>
      </c>
      <c r="D174" s="125"/>
      <c r="E174" s="125"/>
      <c r="F174" s="125"/>
      <c r="G174" s="125"/>
      <c r="H174" s="13"/>
      <c r="I174" s="13">
        <f>9850*50</f>
        <v>492500</v>
      </c>
      <c r="J174" s="11" t="s">
        <v>374</v>
      </c>
    </row>
    <row r="175" spans="2:10" x14ac:dyDescent="0.35">
      <c r="B175" s="104" t="s">
        <v>213</v>
      </c>
      <c r="C175" s="125" t="s">
        <v>19</v>
      </c>
      <c r="D175" s="125"/>
      <c r="E175" s="125"/>
      <c r="F175" s="125"/>
      <c r="G175" s="125"/>
      <c r="H175" s="13"/>
      <c r="I175" s="13">
        <f>9850*50</f>
        <v>492500</v>
      </c>
      <c r="J175" s="11" t="s">
        <v>374</v>
      </c>
    </row>
    <row r="176" spans="2:10" x14ac:dyDescent="0.35">
      <c r="B176" s="104" t="s">
        <v>212</v>
      </c>
      <c r="C176" s="125" t="s">
        <v>368</v>
      </c>
      <c r="D176" s="125"/>
      <c r="E176" s="125"/>
      <c r="F176" s="125"/>
      <c r="G176" s="125"/>
      <c r="H176" s="13"/>
      <c r="I176" s="13">
        <f>9850*5</f>
        <v>49250</v>
      </c>
      <c r="J176" s="11" t="s">
        <v>375</v>
      </c>
    </row>
    <row r="177" spans="1:10" x14ac:dyDescent="0.35">
      <c r="B177" s="31"/>
      <c r="C177" s="13"/>
      <c r="D177" s="13"/>
      <c r="E177" s="13"/>
      <c r="F177" s="13"/>
      <c r="G177" s="13"/>
      <c r="H177" s="13"/>
      <c r="I177" s="13"/>
      <c r="J177" s="11"/>
    </row>
    <row r="178" spans="1:10" x14ac:dyDescent="0.35">
      <c r="B178" s="31"/>
      <c r="C178" s="13"/>
      <c r="D178" s="13"/>
      <c r="E178" s="13"/>
      <c r="F178" s="13"/>
      <c r="G178" s="13"/>
      <c r="H178" s="13"/>
      <c r="I178" s="13"/>
      <c r="J178" s="11"/>
    </row>
    <row r="179" spans="1:10" x14ac:dyDescent="0.35">
      <c r="B179" s="45"/>
      <c r="C179" s="46" t="s">
        <v>39</v>
      </c>
      <c r="D179" s="46"/>
      <c r="E179" s="46"/>
      <c r="F179" s="46"/>
      <c r="G179" s="46"/>
      <c r="H179" s="46" t="s">
        <v>37</v>
      </c>
      <c r="I179" s="46" t="s">
        <v>38</v>
      </c>
      <c r="J179" s="87" t="s">
        <v>322</v>
      </c>
    </row>
    <row r="180" spans="1:10" x14ac:dyDescent="0.35">
      <c r="B180" s="104">
        <v>130</v>
      </c>
      <c r="C180" s="125" t="s">
        <v>1</v>
      </c>
      <c r="D180" s="125"/>
      <c r="E180" s="125"/>
      <c r="F180" s="125"/>
      <c r="G180" s="125"/>
      <c r="H180" s="30">
        <f>I183+I182-H181</f>
        <v>1510080</v>
      </c>
      <c r="I180" s="30"/>
      <c r="J180" s="11"/>
    </row>
    <row r="181" spans="1:10" x14ac:dyDescent="0.35">
      <c r="B181" s="104">
        <v>830</v>
      </c>
      <c r="C181" s="125" t="s">
        <v>369</v>
      </c>
      <c r="D181" s="125"/>
      <c r="E181" s="125"/>
      <c r="F181" s="125"/>
      <c r="G181" s="125"/>
      <c r="H181" s="30">
        <v>52000</v>
      </c>
      <c r="I181" s="30"/>
      <c r="J181" s="11"/>
    </row>
    <row r="182" spans="1:10" x14ac:dyDescent="0.35">
      <c r="B182" s="104" t="s">
        <v>217</v>
      </c>
      <c r="C182" s="125" t="s">
        <v>2</v>
      </c>
      <c r="D182" s="125"/>
      <c r="E182" s="125"/>
      <c r="F182" s="125"/>
      <c r="G182" s="125"/>
      <c r="H182" s="30"/>
      <c r="I182" s="30">
        <f>21/100*(I183-H181)</f>
        <v>262080</v>
      </c>
      <c r="J182" s="11"/>
    </row>
    <row r="183" spans="1:10" x14ac:dyDescent="0.35">
      <c r="B183" s="104" t="s">
        <v>296</v>
      </c>
      <c r="C183" s="125" t="s">
        <v>301</v>
      </c>
      <c r="D183" s="125"/>
      <c r="E183" s="125"/>
      <c r="F183" s="125"/>
      <c r="G183" s="125"/>
      <c r="H183" s="30"/>
      <c r="I183" s="30">
        <v>1300000</v>
      </c>
      <c r="J183" s="11"/>
    </row>
    <row r="184" spans="1:10" x14ac:dyDescent="0.35">
      <c r="B184" s="158" t="s">
        <v>33</v>
      </c>
      <c r="C184" s="159"/>
      <c r="D184" s="159"/>
      <c r="E184" s="159"/>
      <c r="F184" s="159"/>
      <c r="G184" s="159"/>
      <c r="H184" s="13"/>
      <c r="I184" s="13"/>
      <c r="J184" s="11"/>
    </row>
    <row r="185" spans="1:10" x14ac:dyDescent="0.35">
      <c r="B185" s="104">
        <v>800</v>
      </c>
      <c r="C185" s="125" t="s">
        <v>370</v>
      </c>
      <c r="D185" s="125"/>
      <c r="E185" s="125"/>
      <c r="F185" s="125"/>
      <c r="G185" s="125"/>
      <c r="H185" s="30">
        <f>10000*105</f>
        <v>1050000</v>
      </c>
      <c r="I185" s="13"/>
      <c r="J185" s="11" t="s">
        <v>376</v>
      </c>
    </row>
    <row r="186" spans="1:10" x14ac:dyDescent="0.35">
      <c r="B186" s="104" t="s">
        <v>219</v>
      </c>
      <c r="C186" s="125" t="s">
        <v>214</v>
      </c>
      <c r="D186" s="125"/>
      <c r="E186" s="125"/>
      <c r="F186" s="125"/>
      <c r="G186" s="125"/>
      <c r="H186" s="13"/>
      <c r="I186" s="41">
        <f>H185</f>
        <v>1050000</v>
      </c>
      <c r="J186" s="11"/>
    </row>
    <row r="187" spans="1:10" x14ac:dyDescent="0.35">
      <c r="B187" s="158" t="s">
        <v>33</v>
      </c>
      <c r="C187" s="159"/>
      <c r="D187" s="159"/>
      <c r="E187" s="159"/>
      <c r="F187" s="159"/>
      <c r="G187" s="159"/>
      <c r="H187" s="13"/>
      <c r="I187" s="13"/>
      <c r="J187" s="11"/>
    </row>
    <row r="188" spans="1:10" x14ac:dyDescent="0.35">
      <c r="B188" s="104">
        <v>820</v>
      </c>
      <c r="C188" s="125" t="s">
        <v>299</v>
      </c>
      <c r="D188" s="125"/>
      <c r="E188" s="125"/>
      <c r="F188" s="125"/>
      <c r="G188" s="125"/>
      <c r="H188" s="30">
        <f>10000*4</f>
        <v>40000</v>
      </c>
      <c r="I188" s="30"/>
      <c r="J188" s="11" t="s">
        <v>377</v>
      </c>
    </row>
    <row r="189" spans="1:10" x14ac:dyDescent="0.35">
      <c r="B189" s="105" t="s">
        <v>365</v>
      </c>
      <c r="C189" s="124" t="s">
        <v>278</v>
      </c>
      <c r="D189" s="124"/>
      <c r="E189" s="124"/>
      <c r="F189" s="124"/>
      <c r="G189" s="124"/>
      <c r="H189" s="17"/>
      <c r="I189" s="17">
        <f>H188</f>
        <v>40000</v>
      </c>
      <c r="J189" s="33"/>
    </row>
    <row r="191" spans="1:10" x14ac:dyDescent="0.35">
      <c r="A191" s="23" t="s">
        <v>378</v>
      </c>
      <c r="B191" s="149" t="s">
        <v>379</v>
      </c>
      <c r="C191" s="150"/>
      <c r="D191" s="150"/>
      <c r="E191" s="12"/>
      <c r="F191" s="12"/>
      <c r="G191" s="12"/>
      <c r="H191" s="12"/>
      <c r="I191" s="12"/>
      <c r="J191" s="10"/>
    </row>
    <row r="192" spans="1:10" x14ac:dyDescent="0.35">
      <c r="A192" s="23" t="s">
        <v>321</v>
      </c>
      <c r="B192" s="45"/>
      <c r="C192" s="46" t="s">
        <v>39</v>
      </c>
      <c r="D192" s="46"/>
      <c r="E192" s="46"/>
      <c r="F192" s="46"/>
      <c r="G192" s="46"/>
      <c r="H192" s="46" t="s">
        <v>37</v>
      </c>
      <c r="I192" s="46" t="s">
        <v>38</v>
      </c>
      <c r="J192" s="87" t="s">
        <v>322</v>
      </c>
    </row>
    <row r="193" spans="2:10" x14ac:dyDescent="0.35">
      <c r="B193" s="104">
        <v>550</v>
      </c>
      <c r="C193" s="125" t="s">
        <v>380</v>
      </c>
      <c r="D193" s="125"/>
      <c r="E193" s="125"/>
      <c r="F193" s="125"/>
      <c r="G193" s="125"/>
      <c r="H193" s="30">
        <v>25224</v>
      </c>
      <c r="I193" s="30"/>
      <c r="J193" s="11"/>
    </row>
    <row r="194" spans="2:10" x14ac:dyDescent="0.35">
      <c r="B194" s="104">
        <v>550</v>
      </c>
      <c r="C194" s="125" t="s">
        <v>381</v>
      </c>
      <c r="D194" s="125"/>
      <c r="E194" s="125"/>
      <c r="F194" s="125"/>
      <c r="G194" s="125"/>
      <c r="H194" s="30">
        <v>52500</v>
      </c>
      <c r="I194" s="30"/>
      <c r="J194" s="11"/>
    </row>
    <row r="195" spans="2:10" x14ac:dyDescent="0.35">
      <c r="B195" s="104">
        <v>560</v>
      </c>
      <c r="C195" s="125" t="s">
        <v>382</v>
      </c>
      <c r="D195" s="125"/>
      <c r="E195" s="125"/>
      <c r="F195" s="125"/>
      <c r="G195" s="125"/>
      <c r="H195" s="30">
        <v>16000</v>
      </c>
      <c r="I195" s="30"/>
      <c r="J195" s="11"/>
    </row>
    <row r="196" spans="2:10" x14ac:dyDescent="0.35">
      <c r="B196" s="104">
        <v>560</v>
      </c>
      <c r="C196" s="125" t="s">
        <v>383</v>
      </c>
      <c r="D196" s="125"/>
      <c r="E196" s="125"/>
      <c r="F196" s="125"/>
      <c r="G196" s="125"/>
      <c r="H196" s="30">
        <v>8980</v>
      </c>
      <c r="I196" s="30"/>
      <c r="J196" s="11"/>
    </row>
    <row r="197" spans="2:10" x14ac:dyDescent="0.35">
      <c r="B197" s="104" t="s">
        <v>100</v>
      </c>
      <c r="C197" s="125" t="s">
        <v>3</v>
      </c>
      <c r="D197" s="125"/>
      <c r="E197" s="125"/>
      <c r="F197" s="125"/>
      <c r="G197" s="125"/>
      <c r="H197" s="30"/>
      <c r="I197" s="30">
        <f>H193+H194+H195+H196</f>
        <v>102704</v>
      </c>
      <c r="J197" s="11"/>
    </row>
    <row r="198" spans="2:10" x14ac:dyDescent="0.35">
      <c r="B198" s="31"/>
      <c r="C198" s="13"/>
      <c r="D198" s="13"/>
      <c r="E198" s="13"/>
      <c r="F198" s="13"/>
      <c r="G198" s="13"/>
      <c r="H198" s="13"/>
      <c r="I198" s="13"/>
      <c r="J198" s="11"/>
    </row>
    <row r="199" spans="2:10" x14ac:dyDescent="0.35">
      <c r="B199" s="147" t="s">
        <v>238</v>
      </c>
      <c r="C199" s="148"/>
      <c r="D199" s="148"/>
      <c r="E199" s="13"/>
      <c r="F199" s="13"/>
      <c r="G199" s="13"/>
      <c r="H199" s="13"/>
      <c r="I199" s="13"/>
      <c r="J199" s="11"/>
    </row>
    <row r="200" spans="2:10" x14ac:dyDescent="0.35">
      <c r="B200" s="45"/>
      <c r="C200" s="46" t="s">
        <v>39</v>
      </c>
      <c r="D200" s="46"/>
      <c r="E200" s="46"/>
      <c r="F200" s="46"/>
      <c r="G200" s="46"/>
      <c r="H200" s="46" t="s">
        <v>37</v>
      </c>
      <c r="I200" s="46" t="s">
        <v>38</v>
      </c>
      <c r="J200" s="87" t="s">
        <v>322</v>
      </c>
    </row>
    <row r="201" spans="2:10" x14ac:dyDescent="0.35">
      <c r="B201" s="104">
        <v>990</v>
      </c>
      <c r="C201" s="125" t="s">
        <v>384</v>
      </c>
      <c r="D201" s="125"/>
      <c r="E201" s="125"/>
      <c r="F201" s="125"/>
      <c r="G201" s="125"/>
      <c r="H201" s="30">
        <f>600000/12</f>
        <v>50000</v>
      </c>
      <c r="I201" s="30"/>
      <c r="J201" s="11" t="s">
        <v>385</v>
      </c>
    </row>
    <row r="202" spans="2:10" x14ac:dyDescent="0.35">
      <c r="B202" s="104">
        <v>602</v>
      </c>
      <c r="C202" s="125" t="s">
        <v>283</v>
      </c>
      <c r="D202" s="125"/>
      <c r="E202" s="125"/>
      <c r="F202" s="125"/>
      <c r="G202" s="125"/>
      <c r="H202" s="30">
        <f>2120*12</f>
        <v>25440</v>
      </c>
      <c r="I202" s="30"/>
      <c r="J202" s="11" t="s">
        <v>386</v>
      </c>
    </row>
    <row r="203" spans="2:10" x14ac:dyDescent="0.35">
      <c r="B203" s="104" t="s">
        <v>72</v>
      </c>
      <c r="C203" s="125" t="s">
        <v>238</v>
      </c>
      <c r="D203" s="125"/>
      <c r="E203" s="125"/>
      <c r="F203" s="125"/>
      <c r="G203" s="125"/>
      <c r="H203" s="30"/>
      <c r="I203" s="30">
        <f>H201+H202</f>
        <v>75440</v>
      </c>
      <c r="J203" s="11"/>
    </row>
    <row r="204" spans="2:10" x14ac:dyDescent="0.35">
      <c r="B204" s="31"/>
      <c r="C204" s="13"/>
      <c r="D204" s="13"/>
      <c r="E204" s="13"/>
      <c r="F204" s="13"/>
      <c r="G204" s="13"/>
      <c r="H204" s="13"/>
      <c r="I204" s="13"/>
      <c r="J204" s="11"/>
    </row>
    <row r="205" spans="2:10" x14ac:dyDescent="0.35">
      <c r="B205" s="147" t="s">
        <v>240</v>
      </c>
      <c r="C205" s="148"/>
      <c r="D205" s="148"/>
      <c r="E205" s="13"/>
      <c r="F205" s="13"/>
      <c r="G205" s="13"/>
      <c r="H205" s="13"/>
      <c r="I205" s="13"/>
      <c r="J205" s="11"/>
    </row>
    <row r="206" spans="2:10" x14ac:dyDescent="0.35">
      <c r="B206" s="45"/>
      <c r="C206" s="46" t="s">
        <v>39</v>
      </c>
      <c r="D206" s="46"/>
      <c r="E206" s="46"/>
      <c r="F206" s="46"/>
      <c r="G206" s="46"/>
      <c r="H206" s="46" t="s">
        <v>37</v>
      </c>
      <c r="I206" s="46" t="s">
        <v>38</v>
      </c>
      <c r="J206" s="87" t="s">
        <v>322</v>
      </c>
    </row>
    <row r="207" spans="2:10" x14ac:dyDescent="0.35">
      <c r="B207" s="104">
        <v>990</v>
      </c>
      <c r="C207" s="125" t="s">
        <v>384</v>
      </c>
      <c r="D207" s="125"/>
      <c r="E207" s="125"/>
      <c r="F207" s="125"/>
      <c r="G207" s="125"/>
      <c r="H207" s="30">
        <f>192000/12</f>
        <v>16000</v>
      </c>
      <c r="I207" s="30"/>
      <c r="J207" s="11" t="s">
        <v>388</v>
      </c>
    </row>
    <row r="208" spans="2:10" x14ac:dyDescent="0.35">
      <c r="B208" s="104">
        <v>820</v>
      </c>
      <c r="C208" s="125" t="s">
        <v>299</v>
      </c>
      <c r="D208" s="125"/>
      <c r="E208" s="125"/>
      <c r="F208" s="125"/>
      <c r="G208" s="125"/>
      <c r="H208" s="30">
        <f>0.04*214000</f>
        <v>8560</v>
      </c>
      <c r="I208" s="30"/>
      <c r="J208" s="11" t="s">
        <v>387</v>
      </c>
    </row>
    <row r="209" spans="1:14" x14ac:dyDescent="0.35">
      <c r="B209" s="32" t="s">
        <v>220</v>
      </c>
      <c r="C209" s="124" t="s">
        <v>240</v>
      </c>
      <c r="D209" s="124"/>
      <c r="E209" s="124"/>
      <c r="F209" s="124"/>
      <c r="G209" s="124"/>
      <c r="H209" s="17"/>
      <c r="I209" s="17">
        <f>H207+H208</f>
        <v>24560</v>
      </c>
      <c r="J209" s="33"/>
    </row>
    <row r="211" spans="1:14" ht="15" thickBot="1" x14ac:dyDescent="0.4">
      <c r="A211" s="23" t="s">
        <v>323</v>
      </c>
      <c r="B211" s="88" t="s">
        <v>52</v>
      </c>
      <c r="C211" s="145" t="s">
        <v>389</v>
      </c>
      <c r="D211" s="145"/>
      <c r="E211" s="145"/>
      <c r="F211" s="145"/>
      <c r="G211" s="109" t="s">
        <v>30</v>
      </c>
      <c r="H211" s="12"/>
      <c r="I211" s="106" t="s">
        <v>52</v>
      </c>
      <c r="J211" s="123" t="s">
        <v>390</v>
      </c>
      <c r="K211" s="123"/>
      <c r="L211" s="123"/>
      <c r="M211" s="123"/>
      <c r="N211" s="73" t="s">
        <v>30</v>
      </c>
    </row>
    <row r="212" spans="1:14" ht="15" thickTop="1" x14ac:dyDescent="0.35">
      <c r="B212" s="31">
        <v>499</v>
      </c>
      <c r="C212" s="13"/>
      <c r="D212" s="41">
        <f>H194</f>
        <v>52500</v>
      </c>
      <c r="E212" s="90"/>
      <c r="F212" s="13"/>
      <c r="G212" s="13"/>
      <c r="H212" s="74" t="s">
        <v>56</v>
      </c>
      <c r="I212" s="13"/>
      <c r="J212" s="12"/>
      <c r="K212" s="115"/>
      <c r="L212" s="13">
        <v>990</v>
      </c>
      <c r="M212" s="13"/>
      <c r="N212" s="75">
        <f>H201</f>
        <v>50000</v>
      </c>
    </row>
    <row r="213" spans="1:14" x14ac:dyDescent="0.35">
      <c r="B213" s="31">
        <v>499</v>
      </c>
      <c r="C213" s="13"/>
      <c r="D213" s="117">
        <f>H193</f>
        <v>25224</v>
      </c>
      <c r="E213" s="91"/>
      <c r="F213" s="13"/>
      <c r="G213" s="13"/>
      <c r="H213" s="41">
        <f>N214-D214</f>
        <v>-2284</v>
      </c>
      <c r="I213" s="13" t="s">
        <v>57</v>
      </c>
      <c r="J213" s="13"/>
      <c r="K213" s="116"/>
      <c r="L213" s="13">
        <v>602</v>
      </c>
      <c r="M213" s="13"/>
      <c r="N213" s="118">
        <f>H202</f>
        <v>25440</v>
      </c>
    </row>
    <row r="214" spans="1:14" x14ac:dyDescent="0.35">
      <c r="B214" s="31"/>
      <c r="C214" s="13"/>
      <c r="D214" s="41">
        <f>SUM(D212:D213)</f>
        <v>77724</v>
      </c>
      <c r="E214" s="13"/>
      <c r="F214" s="13"/>
      <c r="G214" s="13"/>
      <c r="H214" s="13"/>
      <c r="I214" s="13"/>
      <c r="J214" s="13"/>
      <c r="K214" s="13"/>
      <c r="L214" s="13"/>
      <c r="M214" s="13"/>
      <c r="N214" s="75">
        <f>SUM(N212:N213)</f>
        <v>75440</v>
      </c>
    </row>
    <row r="215" spans="1:14" x14ac:dyDescent="0.35">
      <c r="B215" s="31"/>
      <c r="C215" s="13"/>
      <c r="D215" s="13"/>
      <c r="E215" s="13"/>
      <c r="F215" s="13"/>
      <c r="G215" s="13"/>
      <c r="H215" s="13"/>
      <c r="I215" s="13"/>
      <c r="J215" s="13"/>
      <c r="K215" s="13"/>
      <c r="L215" s="13"/>
      <c r="M215" s="13"/>
      <c r="N215" s="11"/>
    </row>
    <row r="216" spans="1:14" ht="15" thickBot="1" x14ac:dyDescent="0.4">
      <c r="B216" s="88" t="s">
        <v>52</v>
      </c>
      <c r="C216" s="145" t="s">
        <v>391</v>
      </c>
      <c r="D216" s="145"/>
      <c r="E216" s="145"/>
      <c r="F216" s="145"/>
      <c r="G216" s="109" t="s">
        <v>30</v>
      </c>
      <c r="H216" s="12"/>
      <c r="I216" s="109" t="s">
        <v>52</v>
      </c>
      <c r="J216" s="145" t="s">
        <v>392</v>
      </c>
      <c r="K216" s="145"/>
      <c r="L216" s="145"/>
      <c r="M216" s="145"/>
      <c r="N216" s="92" t="s">
        <v>30</v>
      </c>
    </row>
    <row r="217" spans="1:14" ht="15" thickTop="1" x14ac:dyDescent="0.35">
      <c r="B217" s="31">
        <v>499</v>
      </c>
      <c r="C217" s="13"/>
      <c r="D217" s="41">
        <f>H207</f>
        <v>16000</v>
      </c>
      <c r="E217" s="90"/>
      <c r="F217" s="13"/>
      <c r="G217" s="13"/>
      <c r="H217" s="74" t="s">
        <v>56</v>
      </c>
      <c r="I217" s="13"/>
      <c r="J217" s="13"/>
      <c r="K217" s="97"/>
      <c r="L217" s="13">
        <v>990</v>
      </c>
      <c r="M217" s="13"/>
      <c r="N217" s="75">
        <f>H207</f>
        <v>16000</v>
      </c>
    </row>
    <row r="218" spans="1:14" x14ac:dyDescent="0.35">
      <c r="B218" s="31">
        <v>499</v>
      </c>
      <c r="C218" s="13"/>
      <c r="D218" s="117">
        <f>H196</f>
        <v>8980</v>
      </c>
      <c r="E218" s="91"/>
      <c r="F218" s="13"/>
      <c r="G218" s="13"/>
      <c r="H218" s="41">
        <f>N219-D219</f>
        <v>-420</v>
      </c>
      <c r="I218" s="13" t="s">
        <v>57</v>
      </c>
      <c r="J218" s="13"/>
      <c r="K218" s="116"/>
      <c r="L218" s="13">
        <v>820</v>
      </c>
      <c r="M218" s="13"/>
      <c r="N218" s="118">
        <f>H208</f>
        <v>8560</v>
      </c>
    </row>
    <row r="219" spans="1:14" x14ac:dyDescent="0.35">
      <c r="B219" s="32"/>
      <c r="C219" s="21"/>
      <c r="D219" s="9">
        <f>SUM(D217:D218)</f>
        <v>24980</v>
      </c>
      <c r="E219" s="21"/>
      <c r="F219" s="21"/>
      <c r="G219" s="21"/>
      <c r="H219" s="21"/>
      <c r="I219" s="21"/>
      <c r="J219" s="21"/>
      <c r="K219" s="21"/>
      <c r="L219" s="21"/>
      <c r="M219" s="21"/>
      <c r="N219" s="118">
        <f>SUM(N217:N218)</f>
        <v>24560</v>
      </c>
    </row>
    <row r="221" spans="1:14" x14ac:dyDescent="0.35">
      <c r="A221" s="23" t="s">
        <v>393</v>
      </c>
    </row>
    <row r="222" spans="1:14" x14ac:dyDescent="0.35">
      <c r="A222" s="23" t="s">
        <v>321</v>
      </c>
      <c r="B222" s="27"/>
      <c r="C222" s="28" t="s">
        <v>39</v>
      </c>
      <c r="D222" s="28"/>
      <c r="E222" s="28"/>
      <c r="F222" s="28"/>
      <c r="G222" s="28"/>
      <c r="H222" s="28" t="s">
        <v>37</v>
      </c>
      <c r="I222" s="28" t="s">
        <v>38</v>
      </c>
      <c r="J222" s="36" t="s">
        <v>322</v>
      </c>
    </row>
    <row r="223" spans="1:14" x14ac:dyDescent="0.35">
      <c r="B223" s="104">
        <v>600</v>
      </c>
      <c r="C223" s="125" t="s">
        <v>398</v>
      </c>
      <c r="D223" s="125"/>
      <c r="E223" s="125"/>
      <c r="F223" s="125"/>
      <c r="G223" s="125"/>
      <c r="H223" s="13">
        <v>77000</v>
      </c>
      <c r="I223" s="13"/>
      <c r="J223" s="11"/>
    </row>
    <row r="224" spans="1:14" x14ac:dyDescent="0.35">
      <c r="B224" s="104" t="s">
        <v>100</v>
      </c>
      <c r="C224" s="125" t="s">
        <v>3</v>
      </c>
      <c r="D224" s="125"/>
      <c r="E224" s="125"/>
      <c r="F224" s="125"/>
      <c r="G224" s="125"/>
      <c r="H224" s="13"/>
      <c r="I224" s="13">
        <v>77000</v>
      </c>
      <c r="J224" s="11"/>
    </row>
    <row r="225" spans="2:10" x14ac:dyDescent="0.35">
      <c r="B225" s="104"/>
      <c r="C225" s="13"/>
      <c r="D225" s="13"/>
      <c r="E225" s="13"/>
      <c r="F225" s="13"/>
      <c r="G225" s="13"/>
      <c r="H225" s="13"/>
      <c r="I225" s="13"/>
      <c r="J225" s="11"/>
    </row>
    <row r="226" spans="2:10" x14ac:dyDescent="0.35">
      <c r="B226" s="104"/>
      <c r="C226" s="13"/>
      <c r="D226" s="13"/>
      <c r="E226" s="13"/>
      <c r="F226" s="13"/>
      <c r="G226" s="13"/>
      <c r="H226" s="13"/>
      <c r="I226" s="13"/>
      <c r="J226" s="11"/>
    </row>
    <row r="227" spans="2:10" x14ac:dyDescent="0.35">
      <c r="B227" s="113"/>
      <c r="C227" s="46" t="s">
        <v>39</v>
      </c>
      <c r="D227" s="46"/>
      <c r="E227" s="46"/>
      <c r="F227" s="46"/>
      <c r="G227" s="46"/>
      <c r="H227" s="46" t="s">
        <v>37</v>
      </c>
      <c r="I227" s="46" t="s">
        <v>38</v>
      </c>
      <c r="J227" s="87" t="s">
        <v>322</v>
      </c>
    </row>
    <row r="228" spans="2:10" x14ac:dyDescent="0.35">
      <c r="B228" s="104">
        <v>540</v>
      </c>
      <c r="C228" s="125" t="s">
        <v>399</v>
      </c>
      <c r="D228" s="125"/>
      <c r="E228" s="125"/>
      <c r="F228" s="125"/>
      <c r="G228" s="125"/>
      <c r="H228" s="30">
        <v>159000</v>
      </c>
      <c r="I228" s="30"/>
      <c r="J228" s="11" t="s">
        <v>409</v>
      </c>
    </row>
    <row r="229" spans="2:10" x14ac:dyDescent="0.35">
      <c r="B229" s="104">
        <v>550</v>
      </c>
      <c r="C229" s="125" t="s">
        <v>400</v>
      </c>
      <c r="D229" s="125"/>
      <c r="E229" s="125"/>
      <c r="F229" s="125"/>
      <c r="G229" s="125"/>
      <c r="H229" s="30">
        <v>62000</v>
      </c>
      <c r="I229" s="30"/>
      <c r="J229" s="11" t="s">
        <v>410</v>
      </c>
    </row>
    <row r="230" spans="2:10" x14ac:dyDescent="0.35">
      <c r="B230" s="104" t="s">
        <v>100</v>
      </c>
      <c r="C230" s="125" t="s">
        <v>334</v>
      </c>
      <c r="D230" s="125"/>
      <c r="E230" s="125"/>
      <c r="F230" s="125"/>
      <c r="G230" s="125"/>
      <c r="H230" s="30"/>
      <c r="I230" s="30">
        <f>H228+H229</f>
        <v>221000</v>
      </c>
      <c r="J230" s="11"/>
    </row>
    <row r="231" spans="2:10" x14ac:dyDescent="0.35">
      <c r="B231" s="104"/>
      <c r="C231" s="13"/>
      <c r="D231" s="13"/>
      <c r="E231" s="13"/>
      <c r="F231" s="13"/>
      <c r="G231" s="13"/>
      <c r="H231" s="13"/>
      <c r="I231" s="13"/>
      <c r="J231" s="11"/>
    </row>
    <row r="232" spans="2:10" x14ac:dyDescent="0.35">
      <c r="B232" s="104"/>
      <c r="C232" s="13"/>
      <c r="D232" s="13"/>
      <c r="E232" s="13"/>
      <c r="F232" s="13"/>
      <c r="G232" s="13"/>
      <c r="H232" s="13"/>
      <c r="I232" s="13"/>
      <c r="J232" s="11"/>
    </row>
    <row r="233" spans="2:10" x14ac:dyDescent="0.35">
      <c r="B233" s="113"/>
      <c r="C233" s="46" t="s">
        <v>39</v>
      </c>
      <c r="D233" s="46"/>
      <c r="E233" s="46"/>
      <c r="F233" s="46"/>
      <c r="G233" s="46"/>
      <c r="H233" s="46" t="s">
        <v>37</v>
      </c>
      <c r="I233" s="46" t="s">
        <v>38</v>
      </c>
      <c r="J233" s="87" t="s">
        <v>322</v>
      </c>
    </row>
    <row r="234" spans="2:10" x14ac:dyDescent="0.35">
      <c r="B234" s="104">
        <v>610</v>
      </c>
      <c r="C234" s="125" t="s">
        <v>401</v>
      </c>
      <c r="D234" s="125"/>
      <c r="E234" s="125"/>
      <c r="F234" s="125"/>
      <c r="G234" s="125"/>
      <c r="H234" s="30">
        <f>4020*15</f>
        <v>60300</v>
      </c>
      <c r="I234" s="30"/>
      <c r="J234" s="11" t="s">
        <v>412</v>
      </c>
    </row>
    <row r="235" spans="2:10" x14ac:dyDescent="0.35">
      <c r="B235" s="104" t="s">
        <v>394</v>
      </c>
      <c r="C235" s="125" t="s">
        <v>402</v>
      </c>
      <c r="D235" s="125"/>
      <c r="E235" s="125"/>
      <c r="F235" s="125"/>
      <c r="G235" s="125"/>
      <c r="H235" s="30"/>
      <c r="I235" s="30">
        <f>H234</f>
        <v>60300</v>
      </c>
      <c r="J235" s="11"/>
    </row>
    <row r="236" spans="2:10" x14ac:dyDescent="0.35">
      <c r="B236" s="104"/>
      <c r="C236" s="13"/>
      <c r="D236" s="13"/>
      <c r="E236" s="13"/>
      <c r="F236" s="13"/>
      <c r="G236" s="13"/>
      <c r="H236" s="13"/>
      <c r="I236" s="13"/>
      <c r="J236" s="11"/>
    </row>
    <row r="237" spans="2:10" x14ac:dyDescent="0.35">
      <c r="B237" s="104"/>
      <c r="C237" s="13"/>
      <c r="D237" s="13"/>
      <c r="E237" s="13"/>
      <c r="F237" s="13"/>
      <c r="G237" s="13"/>
      <c r="H237" s="13"/>
      <c r="I237" s="13"/>
      <c r="J237" s="11"/>
    </row>
    <row r="238" spans="2:10" x14ac:dyDescent="0.35">
      <c r="B238" s="113"/>
      <c r="C238" s="46" t="s">
        <v>39</v>
      </c>
      <c r="D238" s="46"/>
      <c r="E238" s="46"/>
      <c r="F238" s="46"/>
      <c r="G238" s="46"/>
      <c r="H238" s="46" t="s">
        <v>37</v>
      </c>
      <c r="I238" s="46" t="s">
        <v>38</v>
      </c>
      <c r="J238" s="87" t="s">
        <v>322</v>
      </c>
    </row>
    <row r="239" spans="2:10" x14ac:dyDescent="0.35">
      <c r="B239" s="104">
        <v>700</v>
      </c>
      <c r="C239" s="125" t="s">
        <v>22</v>
      </c>
      <c r="D239" s="125"/>
      <c r="E239" s="125"/>
      <c r="F239" s="125"/>
      <c r="G239" s="125"/>
      <c r="H239" s="30">
        <f>1950*70</f>
        <v>136500</v>
      </c>
      <c r="I239" s="30"/>
      <c r="J239" s="11" t="s">
        <v>413</v>
      </c>
    </row>
    <row r="240" spans="2:10" x14ac:dyDescent="0.35">
      <c r="B240" s="104" t="s">
        <v>395</v>
      </c>
      <c r="C240" s="125" t="s">
        <v>367</v>
      </c>
      <c r="D240" s="125"/>
      <c r="E240" s="125"/>
      <c r="F240" s="125"/>
      <c r="G240" s="125"/>
      <c r="H240" s="30"/>
      <c r="I240" s="30">
        <f>1950*40</f>
        <v>78000</v>
      </c>
      <c r="J240" s="11" t="s">
        <v>414</v>
      </c>
    </row>
    <row r="241" spans="2:10" x14ac:dyDescent="0.35">
      <c r="B241" s="104" t="s">
        <v>396</v>
      </c>
      <c r="C241" s="125" t="s">
        <v>403</v>
      </c>
      <c r="D241" s="125"/>
      <c r="E241" s="125"/>
      <c r="F241" s="125"/>
      <c r="G241" s="125"/>
      <c r="H241" s="30"/>
      <c r="I241" s="30">
        <f>1950*30</f>
        <v>58500</v>
      </c>
      <c r="J241" s="11" t="s">
        <v>415</v>
      </c>
    </row>
    <row r="242" spans="2:10" x14ac:dyDescent="0.35">
      <c r="B242" s="104"/>
      <c r="C242" s="13"/>
      <c r="D242" s="13"/>
      <c r="E242" s="13"/>
      <c r="F242" s="13"/>
      <c r="G242" s="13"/>
      <c r="H242" s="13"/>
      <c r="I242" s="13"/>
      <c r="J242" s="11"/>
    </row>
    <row r="243" spans="2:10" x14ac:dyDescent="0.35">
      <c r="B243" s="104"/>
      <c r="C243" s="13"/>
      <c r="D243" s="13"/>
      <c r="E243" s="13"/>
      <c r="F243" s="13"/>
      <c r="G243" s="13"/>
      <c r="H243" s="13"/>
      <c r="I243" s="13"/>
      <c r="J243" s="11"/>
    </row>
    <row r="244" spans="2:10" x14ac:dyDescent="0.35">
      <c r="B244" s="113"/>
      <c r="C244" s="46" t="s">
        <v>39</v>
      </c>
      <c r="D244" s="46"/>
      <c r="E244" s="46"/>
      <c r="F244" s="46"/>
      <c r="G244" s="46"/>
      <c r="H244" s="46" t="s">
        <v>37</v>
      </c>
      <c r="I244" s="46" t="s">
        <v>38</v>
      </c>
      <c r="J244" s="87" t="s">
        <v>322</v>
      </c>
    </row>
    <row r="245" spans="2:10" x14ac:dyDescent="0.35">
      <c r="B245" s="104">
        <v>800</v>
      </c>
      <c r="C245" s="172" t="s">
        <v>24</v>
      </c>
      <c r="D245" s="172"/>
      <c r="E245" s="172"/>
      <c r="F245" s="172"/>
      <c r="G245" s="172"/>
      <c r="H245" s="30">
        <f>1900*70</f>
        <v>133000</v>
      </c>
      <c r="I245" s="30"/>
      <c r="J245" s="11" t="s">
        <v>411</v>
      </c>
    </row>
    <row r="246" spans="2:10" x14ac:dyDescent="0.35">
      <c r="B246" s="104" t="s">
        <v>219</v>
      </c>
      <c r="C246" s="125" t="s">
        <v>404</v>
      </c>
      <c r="D246" s="125"/>
      <c r="E246" s="125"/>
      <c r="F246" s="125"/>
      <c r="G246" s="125"/>
      <c r="H246" s="30"/>
      <c r="I246" s="30">
        <f>H245</f>
        <v>133000</v>
      </c>
      <c r="J246" s="11"/>
    </row>
    <row r="247" spans="2:10" x14ac:dyDescent="0.35">
      <c r="B247" s="158" t="s">
        <v>33</v>
      </c>
      <c r="C247" s="159"/>
      <c r="D247" s="159"/>
      <c r="E247" s="159"/>
      <c r="F247" s="159"/>
      <c r="G247" s="159"/>
      <c r="H247" s="30"/>
      <c r="I247" s="30"/>
      <c r="J247" s="11"/>
    </row>
    <row r="248" spans="2:10" x14ac:dyDescent="0.35">
      <c r="B248" s="104">
        <v>810</v>
      </c>
      <c r="C248" s="125" t="s">
        <v>299</v>
      </c>
      <c r="D248" s="125"/>
      <c r="E248" s="125"/>
      <c r="F248" s="125"/>
      <c r="G248" s="125"/>
      <c r="H248" s="30">
        <f>1900*10</f>
        <v>19000</v>
      </c>
      <c r="I248" s="30"/>
      <c r="J248" s="11" t="s">
        <v>416</v>
      </c>
    </row>
    <row r="249" spans="2:10" x14ac:dyDescent="0.35">
      <c r="B249" s="104" t="s">
        <v>364</v>
      </c>
      <c r="C249" s="125" t="s">
        <v>405</v>
      </c>
      <c r="D249" s="125"/>
      <c r="E249" s="125"/>
      <c r="F249" s="125"/>
      <c r="G249" s="125"/>
      <c r="H249" s="30"/>
      <c r="I249" s="30">
        <f>H248</f>
        <v>19000</v>
      </c>
      <c r="J249" s="11"/>
    </row>
    <row r="250" spans="2:10" x14ac:dyDescent="0.35">
      <c r="B250" s="158" t="s">
        <v>33</v>
      </c>
      <c r="C250" s="159"/>
      <c r="D250" s="159"/>
      <c r="E250" s="159"/>
      <c r="F250" s="159"/>
      <c r="G250" s="159"/>
      <c r="H250" s="13"/>
      <c r="I250" s="13"/>
      <c r="J250" s="11"/>
    </row>
    <row r="251" spans="2:10" x14ac:dyDescent="0.35">
      <c r="B251" s="104">
        <v>120</v>
      </c>
      <c r="C251" s="125" t="s">
        <v>1</v>
      </c>
      <c r="D251" s="125"/>
      <c r="E251" s="125"/>
      <c r="F251" s="125"/>
      <c r="G251" s="125"/>
      <c r="H251" s="30">
        <f>I252+I253</f>
        <v>459800</v>
      </c>
      <c r="I251" s="30"/>
      <c r="J251" s="11"/>
    </row>
    <row r="252" spans="2:10" x14ac:dyDescent="0.35">
      <c r="B252" s="104" t="s">
        <v>217</v>
      </c>
      <c r="C252" s="125" t="s">
        <v>2</v>
      </c>
      <c r="D252" s="125"/>
      <c r="E252" s="125"/>
      <c r="F252" s="125"/>
      <c r="G252" s="125"/>
      <c r="H252" s="30"/>
      <c r="I252" s="30">
        <f>0.21*I253</f>
        <v>79800</v>
      </c>
      <c r="J252" s="11" t="s">
        <v>418</v>
      </c>
    </row>
    <row r="253" spans="2:10" x14ac:dyDescent="0.35">
      <c r="B253" s="104" t="s">
        <v>397</v>
      </c>
      <c r="C253" s="125" t="s">
        <v>301</v>
      </c>
      <c r="D253" s="125"/>
      <c r="E253" s="125"/>
      <c r="F253" s="125"/>
      <c r="G253" s="125"/>
      <c r="H253" s="30"/>
      <c r="I253" s="30">
        <f>1900*200</f>
        <v>380000</v>
      </c>
      <c r="J253" s="11" t="s">
        <v>417</v>
      </c>
    </row>
    <row r="254" spans="2:10" x14ac:dyDescent="0.35">
      <c r="B254" s="31"/>
      <c r="C254" s="13"/>
      <c r="D254" s="13"/>
      <c r="E254" s="13"/>
      <c r="F254" s="13"/>
      <c r="G254" s="13"/>
      <c r="H254" s="13"/>
      <c r="I254" s="13"/>
      <c r="J254" s="11"/>
    </row>
    <row r="255" spans="2:10" x14ac:dyDescent="0.35">
      <c r="B255" s="31"/>
      <c r="C255" s="13"/>
      <c r="D255" s="13"/>
      <c r="E255" s="13"/>
      <c r="F255" s="13"/>
      <c r="G255" s="13"/>
      <c r="H255" s="13"/>
      <c r="I255" s="13"/>
      <c r="J255" s="11"/>
    </row>
    <row r="256" spans="2:10" x14ac:dyDescent="0.35">
      <c r="B256" s="113"/>
      <c r="C256" s="46" t="s">
        <v>39</v>
      </c>
      <c r="D256" s="46"/>
      <c r="E256" s="46"/>
      <c r="F256" s="46"/>
      <c r="G256" s="46"/>
      <c r="H256" s="46" t="s">
        <v>37</v>
      </c>
      <c r="I256" s="46" t="s">
        <v>38</v>
      </c>
      <c r="J256" s="87" t="s">
        <v>322</v>
      </c>
    </row>
    <row r="257" spans="1:10" x14ac:dyDescent="0.35">
      <c r="B257" s="104">
        <v>950</v>
      </c>
      <c r="C257" s="125" t="s">
        <v>406</v>
      </c>
      <c r="D257" s="125"/>
      <c r="E257" s="125"/>
      <c r="F257" s="125"/>
      <c r="G257" s="125"/>
      <c r="H257" s="30">
        <f>I258</f>
        <v>100000</v>
      </c>
      <c r="I257" s="30"/>
      <c r="J257" s="119" t="s">
        <v>419</v>
      </c>
    </row>
    <row r="258" spans="1:10" x14ac:dyDescent="0.35">
      <c r="B258" s="104" t="s">
        <v>394</v>
      </c>
      <c r="C258" s="125" t="s">
        <v>407</v>
      </c>
      <c r="D258" s="125"/>
      <c r="E258" s="125"/>
      <c r="F258" s="125"/>
      <c r="G258" s="125"/>
      <c r="H258" s="30"/>
      <c r="I258" s="30">
        <f>1200000/12</f>
        <v>100000</v>
      </c>
      <c r="J258" s="11"/>
    </row>
    <row r="259" spans="1:10" x14ac:dyDescent="0.35">
      <c r="B259" s="158" t="s">
        <v>33</v>
      </c>
      <c r="C259" s="159"/>
      <c r="D259" s="159"/>
      <c r="E259" s="159"/>
      <c r="F259" s="159"/>
      <c r="G259" s="159"/>
      <c r="H259" s="30"/>
      <c r="I259" s="30"/>
      <c r="J259" s="11"/>
    </row>
    <row r="260" spans="1:10" x14ac:dyDescent="0.35">
      <c r="B260" s="104">
        <v>950</v>
      </c>
      <c r="C260" s="125" t="s">
        <v>406</v>
      </c>
      <c r="D260" s="125"/>
      <c r="E260" s="125"/>
      <c r="F260" s="125"/>
      <c r="G260" s="125"/>
      <c r="H260" s="30">
        <f>480000/12</f>
        <v>40000</v>
      </c>
      <c r="I260" s="30"/>
      <c r="J260" s="11" t="s">
        <v>420</v>
      </c>
    </row>
    <row r="261" spans="1:10" x14ac:dyDescent="0.35">
      <c r="B261" s="105" t="s">
        <v>364</v>
      </c>
      <c r="C261" s="124" t="s">
        <v>408</v>
      </c>
      <c r="D261" s="124"/>
      <c r="E261" s="124"/>
      <c r="F261" s="124"/>
      <c r="G261" s="124"/>
      <c r="H261" s="17"/>
      <c r="I261" s="17">
        <f>H260</f>
        <v>40000</v>
      </c>
      <c r="J261" s="33"/>
    </row>
    <row r="263" spans="1:10" x14ac:dyDescent="0.35">
      <c r="A263" s="23" t="s">
        <v>323</v>
      </c>
      <c r="B263" s="149" t="s">
        <v>422</v>
      </c>
      <c r="C263" s="150"/>
      <c r="D263" s="12"/>
      <c r="E263" s="12"/>
      <c r="F263" s="12"/>
      <c r="G263" s="12"/>
      <c r="H263" s="12"/>
      <c r="I263" s="12"/>
      <c r="J263" s="10"/>
    </row>
    <row r="264" spans="1:10" x14ac:dyDescent="0.35">
      <c r="B264" s="31">
        <v>540</v>
      </c>
      <c r="C264" s="125" t="str">
        <f>C228</f>
        <v>Kosten fabricageafdeling</v>
      </c>
      <c r="D264" s="125"/>
      <c r="E264" s="125"/>
      <c r="F264" s="13"/>
      <c r="G264" s="41">
        <f>H228</f>
        <v>159000</v>
      </c>
      <c r="H264" s="13"/>
      <c r="I264" s="13"/>
      <c r="J264" s="11"/>
    </row>
    <row r="265" spans="1:10" x14ac:dyDescent="0.35">
      <c r="B265" s="31">
        <v>545</v>
      </c>
      <c r="C265" s="125" t="str">
        <f>C235</f>
        <v>Gebudgetteerde kosten</v>
      </c>
      <c r="D265" s="125"/>
      <c r="E265" s="125"/>
      <c r="F265" s="13"/>
      <c r="G265" s="9">
        <f>I235+I258</f>
        <v>160300</v>
      </c>
      <c r="H265" s="13"/>
      <c r="I265" s="13"/>
      <c r="J265" s="11"/>
    </row>
    <row r="266" spans="1:10" x14ac:dyDescent="0.35">
      <c r="B266" s="156" t="s">
        <v>151</v>
      </c>
      <c r="C266" s="157"/>
      <c r="D266" s="157"/>
      <c r="E266" s="157"/>
      <c r="F266" s="74"/>
      <c r="G266" s="100">
        <f>G265-G264</f>
        <v>1300</v>
      </c>
      <c r="H266" s="74" t="s">
        <v>83</v>
      </c>
      <c r="I266" s="13"/>
      <c r="J266" s="11"/>
    </row>
    <row r="267" spans="1:10" x14ac:dyDescent="0.35">
      <c r="B267" s="31"/>
      <c r="C267" s="13"/>
      <c r="D267" s="13"/>
      <c r="E267" s="13"/>
      <c r="F267" s="13"/>
      <c r="G267" s="13"/>
      <c r="H267" s="13"/>
      <c r="I267" s="13"/>
      <c r="J267" s="11"/>
    </row>
    <row r="268" spans="1:10" x14ac:dyDescent="0.35">
      <c r="B268" s="31">
        <v>550</v>
      </c>
      <c r="C268" s="13" t="str">
        <f>C229</f>
        <v>Kosten verkoopafdeling</v>
      </c>
      <c r="D268" s="13"/>
      <c r="E268" s="13"/>
      <c r="F268" s="13"/>
      <c r="G268" s="41">
        <f>H229</f>
        <v>62000</v>
      </c>
      <c r="H268" s="13"/>
      <c r="I268" s="13"/>
      <c r="J268" s="11"/>
    </row>
    <row r="269" spans="1:10" x14ac:dyDescent="0.35">
      <c r="B269" s="31">
        <v>555</v>
      </c>
      <c r="C269" s="13" t="str">
        <f>C249</f>
        <v>Gebudgetteerde kosten verkoopafdeling</v>
      </c>
      <c r="D269" s="13"/>
      <c r="E269" s="13"/>
      <c r="F269" s="13"/>
      <c r="G269" s="9">
        <f>I249+I261</f>
        <v>59000</v>
      </c>
      <c r="H269" s="13"/>
      <c r="I269" s="13"/>
      <c r="J269" s="11"/>
    </row>
    <row r="270" spans="1:10" x14ac:dyDescent="0.35">
      <c r="B270" s="156" t="s">
        <v>151</v>
      </c>
      <c r="C270" s="157"/>
      <c r="D270" s="157"/>
      <c r="E270" s="157"/>
      <c r="F270" s="13"/>
      <c r="G270" s="100">
        <f>G268-G269</f>
        <v>3000</v>
      </c>
      <c r="H270" s="74" t="s">
        <v>57</v>
      </c>
      <c r="I270" s="13"/>
      <c r="J270" s="11"/>
    </row>
    <row r="271" spans="1:10" x14ac:dyDescent="0.35">
      <c r="B271" s="31"/>
      <c r="C271" s="13"/>
      <c r="D271" s="13"/>
      <c r="E271" s="13"/>
      <c r="F271" s="13"/>
      <c r="G271" s="21"/>
      <c r="H271" s="13"/>
      <c r="I271" s="13"/>
      <c r="J271" s="11"/>
    </row>
    <row r="272" spans="1:10" x14ac:dyDescent="0.35">
      <c r="B272" s="156" t="s">
        <v>363</v>
      </c>
      <c r="C272" s="157"/>
      <c r="D272" s="157"/>
      <c r="E272" s="157"/>
      <c r="F272" s="13"/>
      <c r="G272" s="100">
        <f>G270-G266</f>
        <v>1700</v>
      </c>
      <c r="H272" s="74" t="s">
        <v>57</v>
      </c>
      <c r="I272" s="13"/>
      <c r="J272" s="11"/>
    </row>
    <row r="273" spans="1:10" x14ac:dyDescent="0.35">
      <c r="B273" s="31"/>
      <c r="C273" s="13"/>
      <c r="D273" s="13"/>
      <c r="E273" s="13"/>
      <c r="F273" s="13"/>
      <c r="G273" s="13"/>
      <c r="H273" s="13"/>
      <c r="I273" s="13"/>
      <c r="J273" s="11"/>
    </row>
    <row r="274" spans="1:10" x14ac:dyDescent="0.35">
      <c r="B274" s="147" t="s">
        <v>421</v>
      </c>
      <c r="C274" s="148"/>
      <c r="D274" s="13"/>
      <c r="E274" s="13"/>
      <c r="F274" s="13"/>
      <c r="G274" s="13"/>
      <c r="H274" s="13"/>
      <c r="I274" s="13"/>
      <c r="J274" s="11"/>
    </row>
    <row r="275" spans="1:10" x14ac:dyDescent="0.35">
      <c r="B275" s="31">
        <v>800</v>
      </c>
      <c r="C275" s="173" t="str">
        <f>C245</f>
        <v>Kostprijs verkopen</v>
      </c>
      <c r="D275" s="173"/>
      <c r="E275" s="173"/>
      <c r="F275" s="173"/>
      <c r="G275" s="41">
        <f>H245</f>
        <v>133000</v>
      </c>
      <c r="H275" s="13"/>
      <c r="I275" s="13"/>
      <c r="J275" s="11"/>
    </row>
    <row r="276" spans="1:10" x14ac:dyDescent="0.35">
      <c r="B276" s="31">
        <v>810</v>
      </c>
      <c r="C276" s="125" t="str">
        <f>C248</f>
        <v>Toeslag variabele verkoopkosten</v>
      </c>
      <c r="D276" s="125"/>
      <c r="E276" s="125"/>
      <c r="F276" s="125"/>
      <c r="G276" s="41">
        <f>H248</f>
        <v>19000</v>
      </c>
      <c r="H276" s="13"/>
      <c r="I276" s="13"/>
      <c r="J276" s="11"/>
    </row>
    <row r="277" spans="1:10" x14ac:dyDescent="0.35">
      <c r="B277" s="31">
        <v>850</v>
      </c>
      <c r="C277" s="125" t="str">
        <f>C253</f>
        <v>Opbrengst verkopen</v>
      </c>
      <c r="D277" s="125"/>
      <c r="E277" s="125"/>
      <c r="F277" s="125"/>
      <c r="G277" s="9">
        <f>I253</f>
        <v>380000</v>
      </c>
      <c r="H277" s="13"/>
      <c r="I277" s="13"/>
      <c r="J277" s="11"/>
    </row>
    <row r="278" spans="1:10" x14ac:dyDescent="0.35">
      <c r="B278" s="162" t="s">
        <v>335</v>
      </c>
      <c r="C278" s="163"/>
      <c r="D278" s="163"/>
      <c r="E278" s="163"/>
      <c r="F278" s="163"/>
      <c r="G278" s="44">
        <f>G277-G275-G276</f>
        <v>228000</v>
      </c>
      <c r="H278" s="21"/>
      <c r="I278" s="21"/>
      <c r="J278" s="33"/>
    </row>
    <row r="280" spans="1:10" x14ac:dyDescent="0.35">
      <c r="A280" s="23" t="s">
        <v>30</v>
      </c>
      <c r="B280" s="120"/>
      <c r="C280" s="28" t="s">
        <v>39</v>
      </c>
      <c r="D280" s="28"/>
      <c r="E280" s="28"/>
      <c r="F280" s="28"/>
      <c r="G280" s="28"/>
      <c r="H280" s="28" t="s">
        <v>37</v>
      </c>
      <c r="I280" s="28" t="s">
        <v>38</v>
      </c>
      <c r="J280" s="36" t="s">
        <v>322</v>
      </c>
    </row>
    <row r="281" spans="1:10" x14ac:dyDescent="0.35">
      <c r="B281" s="104">
        <v>930</v>
      </c>
      <c r="C281" s="125" t="s">
        <v>82</v>
      </c>
      <c r="D281" s="125"/>
      <c r="E281" s="125"/>
      <c r="F281" s="125"/>
      <c r="G281" s="125"/>
      <c r="H281" s="41">
        <f>G272</f>
        <v>1700</v>
      </c>
      <c r="I281" s="13"/>
      <c r="J281" s="11"/>
    </row>
    <row r="282" spans="1:10" x14ac:dyDescent="0.35">
      <c r="B282" s="104" t="s">
        <v>80</v>
      </c>
      <c r="C282" s="125" t="s">
        <v>3</v>
      </c>
      <c r="D282" s="125"/>
      <c r="E282" s="125"/>
      <c r="F282" s="125"/>
      <c r="G282" s="125"/>
      <c r="H282" s="13"/>
      <c r="I282" s="41">
        <f>G272</f>
        <v>1700</v>
      </c>
      <c r="J282" s="11"/>
    </row>
    <row r="283" spans="1:10" x14ac:dyDescent="0.35">
      <c r="B283" s="104"/>
      <c r="C283" s="13"/>
      <c r="D283" s="13"/>
      <c r="E283" s="13"/>
      <c r="F283" s="13"/>
      <c r="G283" s="13"/>
      <c r="H283" s="13"/>
      <c r="I283" s="13"/>
      <c r="J283" s="11"/>
    </row>
    <row r="284" spans="1:10" x14ac:dyDescent="0.35">
      <c r="B284" s="113"/>
      <c r="C284" s="46" t="s">
        <v>39</v>
      </c>
      <c r="D284" s="46"/>
      <c r="E284" s="46"/>
      <c r="F284" s="46"/>
      <c r="G284" s="46"/>
      <c r="H284" s="46" t="s">
        <v>37</v>
      </c>
      <c r="I284" s="46" t="s">
        <v>38</v>
      </c>
      <c r="J284" s="87" t="s">
        <v>322</v>
      </c>
    </row>
    <row r="285" spans="1:10" x14ac:dyDescent="0.35">
      <c r="B285" s="104">
        <v>899</v>
      </c>
      <c r="C285" s="125" t="s">
        <v>3</v>
      </c>
      <c r="D285" s="125"/>
      <c r="E285" s="125"/>
      <c r="F285" s="125"/>
      <c r="G285" s="125"/>
      <c r="H285" s="41">
        <f>G278</f>
        <v>228000</v>
      </c>
      <c r="I285" s="13"/>
      <c r="J285" s="11"/>
    </row>
    <row r="286" spans="1:10" x14ac:dyDescent="0.35">
      <c r="B286" s="32" t="s">
        <v>423</v>
      </c>
      <c r="C286" s="124" t="s">
        <v>332</v>
      </c>
      <c r="D286" s="124"/>
      <c r="E286" s="124"/>
      <c r="F286" s="124"/>
      <c r="G286" s="124"/>
      <c r="H286" s="21"/>
      <c r="I286" s="9">
        <f>G278</f>
        <v>228000</v>
      </c>
      <c r="J286" s="33"/>
    </row>
    <row r="288" spans="1:10" x14ac:dyDescent="0.35">
      <c r="A288" s="23" t="s">
        <v>52</v>
      </c>
      <c r="B288" s="149" t="s">
        <v>424</v>
      </c>
      <c r="C288" s="150"/>
      <c r="D288" s="12"/>
      <c r="E288" s="12"/>
      <c r="F288" s="12"/>
      <c r="G288" s="12"/>
      <c r="H288" s="12"/>
      <c r="I288" s="12"/>
      <c r="J288" s="10"/>
    </row>
    <row r="289" spans="2:10" x14ac:dyDescent="0.35">
      <c r="B289" s="32" t="s">
        <v>30</v>
      </c>
      <c r="C289" s="17">
        <v>1200000</v>
      </c>
      <c r="D289" s="127" t="s">
        <v>29</v>
      </c>
      <c r="E289" s="131">
        <f>C289/C290</f>
        <v>25</v>
      </c>
      <c r="F289" s="13"/>
      <c r="G289" s="13"/>
      <c r="H289" s="13"/>
      <c r="I289" s="13"/>
      <c r="J289" s="11"/>
    </row>
    <row r="290" spans="2:10" x14ac:dyDescent="0.35">
      <c r="B290" s="31" t="s">
        <v>31</v>
      </c>
      <c r="C290" s="121">
        <v>48000</v>
      </c>
      <c r="D290" s="127"/>
      <c r="E290" s="131"/>
      <c r="F290" s="13"/>
      <c r="G290" s="13"/>
      <c r="H290" s="13"/>
      <c r="I290" s="13"/>
      <c r="J290" s="11"/>
    </row>
    <row r="291" spans="2:10" x14ac:dyDescent="0.35">
      <c r="B291" s="31"/>
      <c r="C291" s="13"/>
      <c r="D291" s="13"/>
      <c r="E291" s="13"/>
      <c r="F291" s="13"/>
      <c r="G291" s="13"/>
      <c r="H291" s="13"/>
      <c r="I291" s="13"/>
      <c r="J291" s="11"/>
    </row>
    <row r="292" spans="2:10" x14ac:dyDescent="0.35">
      <c r="B292" s="31" t="s">
        <v>425</v>
      </c>
      <c r="C292" s="13"/>
      <c r="D292" s="30">
        <f>(4020-4000)*25</f>
        <v>500</v>
      </c>
      <c r="E292" s="13" t="s">
        <v>83</v>
      </c>
      <c r="F292" s="13"/>
      <c r="G292" s="13"/>
      <c r="H292" s="13"/>
      <c r="I292" s="13"/>
      <c r="J292" s="11"/>
    </row>
    <row r="293" spans="2:10" x14ac:dyDescent="0.35">
      <c r="B293" s="31"/>
      <c r="C293" s="13"/>
      <c r="D293" s="13"/>
      <c r="E293" s="13"/>
      <c r="F293" s="13"/>
      <c r="G293" s="13"/>
      <c r="H293" s="13"/>
      <c r="I293" s="13"/>
      <c r="J293" s="11"/>
    </row>
    <row r="294" spans="2:10" x14ac:dyDescent="0.35">
      <c r="B294" s="147" t="s">
        <v>426</v>
      </c>
      <c r="C294" s="148"/>
      <c r="D294" s="13"/>
      <c r="E294" s="13"/>
      <c r="F294" s="13"/>
      <c r="G294" s="13"/>
      <c r="H294" s="13"/>
      <c r="I294" s="13"/>
      <c r="J294" s="11"/>
    </row>
    <row r="295" spans="2:10" x14ac:dyDescent="0.35">
      <c r="B295" s="32" t="s">
        <v>427</v>
      </c>
      <c r="C295" s="21"/>
      <c r="D295" s="17">
        <f>(380000-400000)*0.1</f>
        <v>-2000</v>
      </c>
      <c r="E295" s="21" t="s">
        <v>61</v>
      </c>
      <c r="F295" s="21"/>
      <c r="G295" s="21"/>
      <c r="H295" s="21"/>
      <c r="I295" s="21"/>
      <c r="J295" s="33"/>
    </row>
  </sheetData>
  <mergeCells count="165">
    <mergeCell ref="B294:C294"/>
    <mergeCell ref="C281:G281"/>
    <mergeCell ref="C282:G282"/>
    <mergeCell ref="C285:G285"/>
    <mergeCell ref="C286:G286"/>
    <mergeCell ref="D289:D290"/>
    <mergeCell ref="E289:E290"/>
    <mergeCell ref="B288:C288"/>
    <mergeCell ref="B272:E272"/>
    <mergeCell ref="B278:F278"/>
    <mergeCell ref="C275:F275"/>
    <mergeCell ref="C276:F276"/>
    <mergeCell ref="C277:F277"/>
    <mergeCell ref="B274:C274"/>
    <mergeCell ref="C264:E264"/>
    <mergeCell ref="C265:E265"/>
    <mergeCell ref="B266:E266"/>
    <mergeCell ref="B263:C263"/>
    <mergeCell ref="B270:E270"/>
    <mergeCell ref="C253:G253"/>
    <mergeCell ref="C257:G257"/>
    <mergeCell ref="C258:G258"/>
    <mergeCell ref="C260:G260"/>
    <mergeCell ref="C261:G261"/>
    <mergeCell ref="C246:G246"/>
    <mergeCell ref="C248:G248"/>
    <mergeCell ref="C249:G249"/>
    <mergeCell ref="C251:G251"/>
    <mergeCell ref="C252:G252"/>
    <mergeCell ref="C216:F216"/>
    <mergeCell ref="J216:M216"/>
    <mergeCell ref="B259:G259"/>
    <mergeCell ref="B250:G250"/>
    <mergeCell ref="B247:G247"/>
    <mergeCell ref="C223:G223"/>
    <mergeCell ref="C224:G224"/>
    <mergeCell ref="C228:G228"/>
    <mergeCell ref="C229:G229"/>
    <mergeCell ref="C230:G230"/>
    <mergeCell ref="C234:G234"/>
    <mergeCell ref="C235:G235"/>
    <mergeCell ref="C239:G239"/>
    <mergeCell ref="C240:G240"/>
    <mergeCell ref="C241:G241"/>
    <mergeCell ref="C245:G245"/>
    <mergeCell ref="C207:G207"/>
    <mergeCell ref="C208:G208"/>
    <mergeCell ref="C209:G209"/>
    <mergeCell ref="C211:F211"/>
    <mergeCell ref="J211:M211"/>
    <mergeCell ref="B205:D205"/>
    <mergeCell ref="C193:G193"/>
    <mergeCell ref="C194:G194"/>
    <mergeCell ref="C195:G195"/>
    <mergeCell ref="C197:G197"/>
    <mergeCell ref="C196:G196"/>
    <mergeCell ref="C201:G201"/>
    <mergeCell ref="C202:G202"/>
    <mergeCell ref="C203:G203"/>
    <mergeCell ref="B187:G187"/>
    <mergeCell ref="C188:G188"/>
    <mergeCell ref="C189:G189"/>
    <mergeCell ref="B191:D191"/>
    <mergeCell ref="B199:D199"/>
    <mergeCell ref="C182:G182"/>
    <mergeCell ref="C183:G183"/>
    <mergeCell ref="B184:G184"/>
    <mergeCell ref="C185:G185"/>
    <mergeCell ref="C186:G186"/>
    <mergeCell ref="C174:G174"/>
    <mergeCell ref="C175:G175"/>
    <mergeCell ref="C176:G176"/>
    <mergeCell ref="C180:G180"/>
    <mergeCell ref="C181:G181"/>
    <mergeCell ref="C163:G163"/>
    <mergeCell ref="C164:G164"/>
    <mergeCell ref="C168:G168"/>
    <mergeCell ref="C169:G169"/>
    <mergeCell ref="C173:G173"/>
    <mergeCell ref="B153:E153"/>
    <mergeCell ref="B154:E154"/>
    <mergeCell ref="C158:G158"/>
    <mergeCell ref="C159:G159"/>
    <mergeCell ref="B155:E155"/>
    <mergeCell ref="C147:G147"/>
    <mergeCell ref="C148:G148"/>
    <mergeCell ref="C149:G149"/>
    <mergeCell ref="C150:G150"/>
    <mergeCell ref="B152:F152"/>
    <mergeCell ref="C133:G133"/>
    <mergeCell ref="C137:G137"/>
    <mergeCell ref="C138:G138"/>
    <mergeCell ref="C142:G142"/>
    <mergeCell ref="C143:G143"/>
    <mergeCell ref="B124:F124"/>
    <mergeCell ref="B125:D125"/>
    <mergeCell ref="B126:D126"/>
    <mergeCell ref="B130:C130"/>
    <mergeCell ref="C132:G132"/>
    <mergeCell ref="B117:G117"/>
    <mergeCell ref="B118:G118"/>
    <mergeCell ref="B120:E120"/>
    <mergeCell ref="B121:D121"/>
    <mergeCell ref="B122:D122"/>
    <mergeCell ref="B115:G115"/>
    <mergeCell ref="B116:G116"/>
    <mergeCell ref="B112:G112"/>
    <mergeCell ref="B105:G105"/>
    <mergeCell ref="B106:G106"/>
    <mergeCell ref="B107:G107"/>
    <mergeCell ref="B108:G108"/>
    <mergeCell ref="B109:G109"/>
    <mergeCell ref="C101:G101"/>
    <mergeCell ref="C102:G102"/>
    <mergeCell ref="B104:G104"/>
    <mergeCell ref="B94:E94"/>
    <mergeCell ref="B95:E95"/>
    <mergeCell ref="B96:E96"/>
    <mergeCell ref="B97:E97"/>
    <mergeCell ref="C14:G14"/>
    <mergeCell ref="C15:G15"/>
    <mergeCell ref="C27:G27"/>
    <mergeCell ref="C37:G37"/>
    <mergeCell ref="C38:G38"/>
    <mergeCell ref="C31:G31"/>
    <mergeCell ref="C32:G32"/>
    <mergeCell ref="C33:G33"/>
    <mergeCell ref="B52:F52"/>
    <mergeCell ref="B53:F53"/>
    <mergeCell ref="B51:F51"/>
    <mergeCell ref="C42:G42"/>
    <mergeCell ref="C43:G43"/>
    <mergeCell ref="C91:G91"/>
    <mergeCell ref="C92:G92"/>
    <mergeCell ref="B79:F79"/>
    <mergeCell ref="B80:F80"/>
    <mergeCell ref="C5:G5"/>
    <mergeCell ref="C6:G6"/>
    <mergeCell ref="C7:G7"/>
    <mergeCell ref="C8:G8"/>
    <mergeCell ref="C9:G9"/>
    <mergeCell ref="C10:G10"/>
    <mergeCell ref="C24:G24"/>
    <mergeCell ref="C25:G25"/>
    <mergeCell ref="C26:G26"/>
    <mergeCell ref="C19:G19"/>
    <mergeCell ref="C20:G20"/>
    <mergeCell ref="B84:F84"/>
    <mergeCell ref="C90:G90"/>
    <mergeCell ref="J9:K9"/>
    <mergeCell ref="J14:K14"/>
    <mergeCell ref="J19:K19"/>
    <mergeCell ref="C88:G88"/>
    <mergeCell ref="C89:G89"/>
    <mergeCell ref="B69:F69"/>
    <mergeCell ref="B70:F70"/>
    <mergeCell ref="B64:F64"/>
    <mergeCell ref="B65:F65"/>
    <mergeCell ref="B46:F46"/>
    <mergeCell ref="B47:F47"/>
    <mergeCell ref="B48:F48"/>
    <mergeCell ref="B74:F74"/>
    <mergeCell ref="B75:F75"/>
    <mergeCell ref="C59:G59"/>
    <mergeCell ref="C60:G60"/>
  </mergeCells>
  <pageMargins left="0.7" right="0.7" top="0.75" bottom="0.75" header="0.3" footer="0.3"/>
  <pageSetup paperSize="9"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Hoofdstuk 8</vt:lpstr>
      <vt:lpstr>Hoofdstuk 9</vt:lpstr>
      <vt:lpstr>Hoofdstuk 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adem doganer</dc:creator>
  <cp:lastModifiedBy>adem doganer</cp:lastModifiedBy>
  <dcterms:created xsi:type="dcterms:W3CDTF">2020-06-02T08:54:42Z</dcterms:created>
  <dcterms:modified xsi:type="dcterms:W3CDTF">2020-06-22T16:18:12Z</dcterms:modified>
</cp:coreProperties>
</file>